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activeTab="0"/>
  </bookViews>
  <sheets>
    <sheet name="2" sheetId="1" r:id="rId1"/>
  </sheets>
  <definedNames>
    <definedName name="_xlnm.Print_Area" localSheetId="0">'2'!$A$1:$N$119</definedName>
  </definedNames>
  <calcPr fullCalcOnLoad="1"/>
</workbook>
</file>

<file path=xl/sharedStrings.xml><?xml version="1.0" encoding="utf-8"?>
<sst xmlns="http://schemas.openxmlformats.org/spreadsheetml/2006/main" count="146" uniqueCount="114">
  <si>
    <t>Dział</t>
  </si>
  <si>
    <t>Rozdział</t>
  </si>
  <si>
    <t>w tym:</t>
  </si>
  <si>
    <t>Nazwa</t>
  </si>
  <si>
    <t>Wydatki bieżące</t>
  </si>
  <si>
    <t>Wydatki majątkowe</t>
  </si>
  <si>
    <t>w  złotych</t>
  </si>
  <si>
    <t>z tego:</t>
  </si>
  <si>
    <t>Dotacje</t>
  </si>
  <si>
    <t>Ogółem wydatki</t>
  </si>
  <si>
    <t>Wydatki
z tytułu poręczeń
i gwarancji</t>
  </si>
  <si>
    <t>Wynagro-
dzenia</t>
  </si>
  <si>
    <t>Wydatki na obsługę długu</t>
  </si>
  <si>
    <t>Pochodne od 
wynagro-dzeń</t>
  </si>
  <si>
    <t>010</t>
  </si>
  <si>
    <t>Rolnictwo i łowiectwo</t>
  </si>
  <si>
    <t>Transport i łączność</t>
  </si>
  <si>
    <t>01030</t>
  </si>
  <si>
    <t>Izby rolnicze</t>
  </si>
  <si>
    <t>Lokalny transport zbiorowy</t>
  </si>
  <si>
    <t>Drogi publicznne gminne</t>
  </si>
  <si>
    <t>Drogi wewnętrzne</t>
  </si>
  <si>
    <t>Infrastruktura portowa</t>
  </si>
  <si>
    <t>Pozostała działalność</t>
  </si>
  <si>
    <t>Turystyka</t>
  </si>
  <si>
    <t>Gospodarka mieszkaniowa</t>
  </si>
  <si>
    <t>Gospodarka gruntami i nieruchomościami</t>
  </si>
  <si>
    <t>Towarzystwa budownictwa społecznego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</si>
  <si>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</si>
  <si>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</si>
  <si>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</si>
  <si>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</si>
  <si>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</si>
  <si>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</si>
  <si>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</si>
  <si>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</si>
  <si>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</si>
  <si>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Urzędy naczelnych organów władzy państwowej, kontroli i ochrony prawa</t>
  </si>
  <si>
    <t>Bezpieczeństwo publiczne i ochrona przeciwpożarowa</t>
  </si>
  <si>
    <t>Komendy Powiatowe Policji</t>
  </si>
  <si>
    <t>Straż graniczna</t>
  </si>
  <si>
    <t>Komendy Powiatowe Państwowej Straży Pożarnej</t>
  </si>
  <si>
    <t>Ochotnicze Straże Pożarne</t>
  </si>
  <si>
    <t>Obrona cywilna</t>
  </si>
  <si>
    <t>Straż miejska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</si>
  <si>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</si>
  <si>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</si>
  <si>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</si>
  <si>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jst</t>
  </si>
  <si>
    <t>Różne rozliczenia</t>
  </si>
  <si>
    <t>Rezerwy ogólne i celowe</t>
  </si>
  <si>
    <t>Przedszkola</t>
  </si>
  <si>
    <t>Gimnazja</t>
  </si>
  <si>
    <t>Dokształcanie nauczycieli</t>
  </si>
  <si>
    <t>Ochrona zdrowia</t>
  </si>
  <si>
    <t>Szpitale ogólne</t>
  </si>
  <si>
    <t>Zwalczanie narkomanii</t>
  </si>
  <si>
    <t>Przecwidziałanie alkoholizmowi</t>
  </si>
  <si>
    <t>Pomoc społeczna</t>
  </si>
  <si>
    <t xml:space="preserve">Ośrodki wsparcia </t>
  </si>
  <si>
    <t>Świadczenia rodzinne oraz składki na ubezpieczenia emerytalne i rentowe z ubezpieczenia społecznewgo</t>
  </si>
  <si>
    <t>Składki na ubezpieczenia zdrowotne opłascane za osoby pobierające niektóre świadczenia z pomocy społecznej oraz niektóre świadczenia rodzinne</t>
  </si>
  <si>
    <t>Zasiłki i pomoc w naturze oraz składki na ubepieczenia emerytalne i rentowe</t>
  </si>
  <si>
    <t>Ośrodki pomocy społecznej</t>
  </si>
  <si>
    <t>Usługi opiekuńcze i specjalistyczne usługi opiekuńcze</t>
  </si>
  <si>
    <t>Pozostałe zadania w zakresie polityki społecznej</t>
  </si>
  <si>
    <t>Żłobki</t>
  </si>
  <si>
    <t>Edukacyjna opieka wychowawcza</t>
  </si>
  <si>
    <t>Świetlice szkolne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</si>
  <si>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</si>
  <si>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</si>
  <si>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</si>
  <si>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</si>
  <si>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</si>
  <si>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</si>
  <si>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</si>
  <si>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Galerie i biura wystaw artystycznych</t>
  </si>
  <si>
    <t>Biblioteki</t>
  </si>
  <si>
    <t>Ochrona zabytków i opieka nad zabytkami</t>
  </si>
  <si>
    <t>Kultura fizyczna i sport</t>
  </si>
  <si>
    <t>Istytucje kultury fizycznej</t>
  </si>
  <si>
    <t>Zadania w zakresie kultury fizycznej i sportu</t>
  </si>
  <si>
    <t>Drogi publiczne powiatowe</t>
  </si>
  <si>
    <t>Szkoły podstawowe, w tym:</t>
  </si>
  <si>
    <t>Szkoła Podstawowa Nr 3</t>
  </si>
  <si>
    <t>Szkoła Podstawowa Nr 4</t>
  </si>
  <si>
    <t>Szkoła Podstawowa Nr 5</t>
  </si>
  <si>
    <t>Szkoła Podstawowa nr 6</t>
  </si>
  <si>
    <t>Szkoła Podstawowa Nr 8</t>
  </si>
  <si>
    <t>Szkoła Podstawowa Nr 9</t>
  </si>
  <si>
    <t>Społeczna Szkoła Podstawowa</t>
  </si>
  <si>
    <t>Szkoły Podstawowe-nagrody Prezydenta</t>
  </si>
  <si>
    <t>Oddziały przedszkolne w szkołach podstawowych, w tym:</t>
  </si>
  <si>
    <t>Gimnazjum Nr 1</t>
  </si>
  <si>
    <t>Gimnazjum nr 3</t>
  </si>
  <si>
    <t>Zespół Szkół Nr 2</t>
  </si>
  <si>
    <t>Zespół Szkół- Podczele</t>
  </si>
  <si>
    <t>Społeczne Gimnazjum STO Nr 1</t>
  </si>
  <si>
    <t>Wydatki budżetu gminy na  2008 r.</t>
  </si>
  <si>
    <t>Plan
na 2007 r.
(stan na 18.10.07)</t>
  </si>
  <si>
    <t>01095</t>
  </si>
  <si>
    <t>Wybory do Sejmu i Senatu</t>
  </si>
  <si>
    <t>Wpływy z innych opłat stanowiących dochody jednostek samorządu terytorialnego na podstawie ustaw</t>
  </si>
  <si>
    <t>Usuwanie skutków klęsk żywiołowych</t>
  </si>
  <si>
    <t>Szkolne schroniska młodzieżowe</t>
  </si>
  <si>
    <t>Plan
na 2008 r.
(7+13)</t>
  </si>
  <si>
    <t>zlecone</t>
  </si>
  <si>
    <t>% 4:5</t>
  </si>
  <si>
    <t>własne</t>
  </si>
  <si>
    <t>zakupy</t>
  </si>
  <si>
    <t>WPI</t>
  </si>
  <si>
    <t>Oświata i wychowanie</t>
  </si>
  <si>
    <t>Zarządzanie kryzysowe</t>
  </si>
  <si>
    <t>Dodatki mieszkaniowe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</si>
</sst>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14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8"/>
      <color indexed="48"/>
      <name val="Arial"/>
      <family val="2"/>
    </font>
    <font>
      <b/>
      <sz val="10"/>
      <color indexed="57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3" fontId="4" fillId="0" borderId="4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10" fillId="0" borderId="2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3" fontId="9" fillId="0" borderId="2" xfId="0" applyNumberFormat="1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0" fontId="9" fillId="0" borderId="2" xfId="0" applyFont="1" applyBorder="1" applyAlignment="1">
      <alignment vertical="top" wrapText="1"/>
    </xf>
    <xf numFmtId="3" fontId="9" fillId="0" borderId="2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4" fontId="4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168" fontId="4" fillId="0" borderId="2" xfId="0" applyNumberFormat="1" applyFont="1" applyBorder="1" applyAlignment="1">
      <alignment vertical="top" wrapText="1"/>
    </xf>
    <xf numFmtId="168" fontId="2" fillId="0" borderId="2" xfId="0" applyNumberFormat="1" applyFont="1" applyBorder="1" applyAlignment="1">
      <alignment vertical="top"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80">
      <selection activeCell="I83" sqref="I83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3.125" style="1" bestFit="1" customWidth="1"/>
    <col min="4" max="4" width="14.00390625" style="1" hidden="1" customWidth="1"/>
    <col min="5" max="5" width="14.625" style="1" customWidth="1"/>
    <col min="6" max="6" width="8.00390625" style="1" hidden="1" customWidth="1"/>
    <col min="7" max="7" width="15.125" style="1" customWidth="1"/>
    <col min="8" max="8" width="12.875" style="1" customWidth="1"/>
    <col min="9" max="9" width="11.625" style="1" customWidth="1"/>
    <col min="10" max="10" width="13.25390625" style="1" customWidth="1"/>
    <col min="11" max="11" width="12.375" style="1" customWidth="1"/>
    <col min="12" max="12" width="10.75390625" style="1" customWidth="1"/>
    <col min="13" max="13" width="13.125" style="1" customWidth="1"/>
  </cols>
  <sheetData>
    <row r="1" spans="1:13" ht="18">
      <c r="A1" s="45" t="s">
        <v>98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.75">
      <c r="A2" s="3"/>
      <c r="B2" s="3"/>
      <c r="C2" s="3"/>
      <c r="D2" s="3"/>
      <c r="E2" s="3"/>
      <c r="F2" s="3"/>
      <c r="G2" s="3"/>
      <c r="I2" s="2"/>
      <c r="J2" s="2"/>
      <c r="K2" s="2"/>
      <c r="L2" s="2"/>
      <c r="M2" s="4" t="s">
        <v>6</v>
      </c>
    </row>
    <row r="3" spans="1:13" s="5" customFormat="1" ht="18.75" customHeight="1">
      <c r="A3" s="38" t="s">
        <v>0</v>
      </c>
      <c r="B3" s="38" t="s">
        <v>1</v>
      </c>
      <c r="C3" s="39" t="s">
        <v>3</v>
      </c>
      <c r="D3" s="38" t="s">
        <v>99</v>
      </c>
      <c r="E3" s="38" t="s">
        <v>105</v>
      </c>
      <c r="F3" s="39" t="s">
        <v>107</v>
      </c>
      <c r="G3" s="38" t="s">
        <v>7</v>
      </c>
      <c r="H3" s="38"/>
      <c r="I3" s="38"/>
      <c r="J3" s="38"/>
      <c r="K3" s="38"/>
      <c r="L3" s="38"/>
      <c r="M3" s="38"/>
    </row>
    <row r="4" spans="1:13" s="5" customFormat="1" ht="20.25" customHeight="1">
      <c r="A4" s="38"/>
      <c r="B4" s="38"/>
      <c r="C4" s="40"/>
      <c r="D4" s="38"/>
      <c r="E4" s="38"/>
      <c r="F4" s="40"/>
      <c r="G4" s="38" t="s">
        <v>4</v>
      </c>
      <c r="H4" s="38" t="s">
        <v>2</v>
      </c>
      <c r="I4" s="38"/>
      <c r="J4" s="38"/>
      <c r="K4" s="38"/>
      <c r="L4" s="38"/>
      <c r="M4" s="38" t="s">
        <v>5</v>
      </c>
    </row>
    <row r="5" spans="1:13" s="5" customFormat="1" ht="63.75">
      <c r="A5" s="38"/>
      <c r="B5" s="38"/>
      <c r="C5" s="41"/>
      <c r="D5" s="38"/>
      <c r="E5" s="38"/>
      <c r="F5" s="41"/>
      <c r="G5" s="38"/>
      <c r="H5" s="9" t="s">
        <v>11</v>
      </c>
      <c r="I5" s="9" t="s">
        <v>13</v>
      </c>
      <c r="J5" s="9" t="s">
        <v>8</v>
      </c>
      <c r="K5" s="9" t="s">
        <v>12</v>
      </c>
      <c r="L5" s="9" t="s">
        <v>10</v>
      </c>
      <c r="M5" s="38"/>
    </row>
    <row r="6" spans="1:13" s="5" customFormat="1" ht="6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s="5" customFormat="1" ht="12.75">
      <c r="A7" s="13" t="s">
        <v>14</v>
      </c>
      <c r="B7" s="14"/>
      <c r="C7" s="14" t="s">
        <v>15</v>
      </c>
      <c r="D7" s="29">
        <f>SUM(D8:D9)</f>
        <v>566.53</v>
      </c>
      <c r="E7" s="23">
        <f>G7+M7</f>
        <v>350</v>
      </c>
      <c r="F7" s="32">
        <f>E7/D7</f>
        <v>0.6177960566960267</v>
      </c>
      <c r="G7" s="18">
        <f aca="true" t="shared" si="0" ref="G7:M7">SUM(G8:G9)</f>
        <v>350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</row>
    <row r="8" spans="1:13" s="5" customFormat="1" ht="12.75">
      <c r="A8" s="26"/>
      <c r="B8" s="11" t="s">
        <v>17</v>
      </c>
      <c r="C8" s="7" t="s">
        <v>18</v>
      </c>
      <c r="D8" s="19">
        <v>350</v>
      </c>
      <c r="E8" s="24">
        <f>G8+M8</f>
        <v>350</v>
      </c>
      <c r="F8" s="33">
        <f>E8/D8</f>
        <v>1</v>
      </c>
      <c r="G8" s="19">
        <v>350</v>
      </c>
      <c r="H8" s="19"/>
      <c r="I8" s="27"/>
      <c r="J8" s="27"/>
      <c r="K8" s="27"/>
      <c r="L8" s="27"/>
      <c r="M8" s="27"/>
    </row>
    <row r="9" spans="1:13" s="5" customFormat="1" ht="12.75">
      <c r="A9" s="31" t="s">
        <v>106</v>
      </c>
      <c r="B9" s="11" t="s">
        <v>100</v>
      </c>
      <c r="C9" s="7" t="s">
        <v>23</v>
      </c>
      <c r="D9" s="28">
        <v>216.53</v>
      </c>
      <c r="E9" s="24">
        <f aca="true" t="shared" si="1" ref="E9:E70">G9+M9</f>
        <v>0</v>
      </c>
      <c r="F9" s="33">
        <f>E9/D9</f>
        <v>0</v>
      </c>
      <c r="G9" s="19"/>
      <c r="H9" s="19"/>
      <c r="I9" s="27"/>
      <c r="J9" s="27"/>
      <c r="K9" s="27"/>
      <c r="L9" s="27"/>
      <c r="M9" s="27"/>
    </row>
    <row r="10" spans="1:13" s="5" customFormat="1" ht="12.75">
      <c r="A10" s="15">
        <v>600</v>
      </c>
      <c r="B10" s="16"/>
      <c r="C10" s="16" t="s">
        <v>16</v>
      </c>
      <c r="D10" s="20">
        <f>SUM(D11:D16)</f>
        <v>42306575</v>
      </c>
      <c r="E10" s="23">
        <f>SUM(E11:E16)</f>
        <v>62521880</v>
      </c>
      <c r="F10" s="32">
        <f>E10/D10</f>
        <v>1.4778289190273617</v>
      </c>
      <c r="G10" s="20">
        <f aca="true" t="shared" si="2" ref="G10:M10">SUM(G11:G16)</f>
        <v>9037000</v>
      </c>
      <c r="H10" s="20">
        <f t="shared" si="2"/>
        <v>140000</v>
      </c>
      <c r="I10" s="20">
        <f t="shared" si="2"/>
        <v>30000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53484880</v>
      </c>
    </row>
    <row r="11" spans="1:13" s="5" customFormat="1" ht="12.75">
      <c r="A11" s="7"/>
      <c r="B11" s="7">
        <v>60004</v>
      </c>
      <c r="C11" s="7" t="s">
        <v>19</v>
      </c>
      <c r="D11" s="19">
        <v>2479000</v>
      </c>
      <c r="E11" s="24">
        <f t="shared" si="1"/>
        <v>2756000</v>
      </c>
      <c r="F11" s="33">
        <f>E11/D11</f>
        <v>1.1117386042759176</v>
      </c>
      <c r="G11" s="19">
        <v>2756000</v>
      </c>
      <c r="H11" s="19"/>
      <c r="I11" s="19"/>
      <c r="J11" s="19"/>
      <c r="K11" s="19"/>
      <c r="L11" s="19"/>
      <c r="M11" s="19"/>
    </row>
    <row r="12" spans="1:13" s="5" customFormat="1" ht="12.75">
      <c r="A12" s="7"/>
      <c r="B12" s="7">
        <v>60014</v>
      </c>
      <c r="C12" s="7" t="s">
        <v>82</v>
      </c>
      <c r="D12" s="19">
        <v>17000</v>
      </c>
      <c r="E12" s="24">
        <f t="shared" si="1"/>
        <v>17000</v>
      </c>
      <c r="F12" s="33">
        <f aca="true" t="shared" si="3" ref="F12:F74">E12/D12</f>
        <v>1</v>
      </c>
      <c r="G12" s="19">
        <v>17000</v>
      </c>
      <c r="H12" s="19"/>
      <c r="I12" s="19"/>
      <c r="J12" s="19"/>
      <c r="K12" s="19"/>
      <c r="L12" s="19"/>
      <c r="M12" s="19"/>
    </row>
    <row r="13" spans="1:13" s="5" customFormat="1" ht="12.75">
      <c r="A13" s="7"/>
      <c r="B13" s="7">
        <v>60016</v>
      </c>
      <c r="C13" s="7" t="s">
        <v>20</v>
      </c>
      <c r="D13" s="19">
        <v>31412575</v>
      </c>
      <c r="E13" s="24">
        <f t="shared" si="1"/>
        <v>20383380</v>
      </c>
      <c r="F13" s="33">
        <f t="shared" si="3"/>
        <v>0.6488923623739856</v>
      </c>
      <c r="G13" s="19">
        <v>5334000</v>
      </c>
      <c r="H13" s="19">
        <f>140000</f>
        <v>140000</v>
      </c>
      <c r="I13" s="19">
        <f>26000+4000</f>
        <v>30000</v>
      </c>
      <c r="J13" s="19"/>
      <c r="K13" s="19"/>
      <c r="L13" s="19"/>
      <c r="M13" s="19">
        <v>15049380</v>
      </c>
    </row>
    <row r="14" spans="1:13" s="5" customFormat="1" ht="12.75">
      <c r="A14" s="7"/>
      <c r="B14" s="7">
        <v>60017</v>
      </c>
      <c r="C14" s="7" t="s">
        <v>21</v>
      </c>
      <c r="D14" s="19">
        <v>461000</v>
      </c>
      <c r="E14" s="24">
        <f t="shared" si="1"/>
        <v>650000</v>
      </c>
      <c r="F14" s="33">
        <f t="shared" si="3"/>
        <v>1.4099783080260304</v>
      </c>
      <c r="G14" s="19">
        <v>650000</v>
      </c>
      <c r="H14" s="19"/>
      <c r="I14" s="19"/>
      <c r="J14" s="19"/>
      <c r="K14" s="19"/>
      <c r="L14" s="19"/>
      <c r="M14" s="19"/>
    </row>
    <row r="15" spans="1:13" s="5" customFormat="1" ht="12.75">
      <c r="A15" s="7"/>
      <c r="B15" s="7">
        <v>60041</v>
      </c>
      <c r="C15" s="7" t="s">
        <v>22</v>
      </c>
      <c r="D15" s="19">
        <v>1700000</v>
      </c>
      <c r="E15" s="24">
        <f t="shared" si="1"/>
        <v>35782500</v>
      </c>
      <c r="F15" s="33">
        <f t="shared" si="3"/>
        <v>21.048529411764704</v>
      </c>
      <c r="G15" s="19">
        <v>280000</v>
      </c>
      <c r="H15" s="19"/>
      <c r="I15" s="19"/>
      <c r="J15" s="19"/>
      <c r="K15" s="19"/>
      <c r="L15" s="19"/>
      <c r="M15" s="19">
        <v>35502500</v>
      </c>
    </row>
    <row r="16" spans="1:13" s="5" customFormat="1" ht="12.75">
      <c r="A16" s="7"/>
      <c r="B16" s="7">
        <v>60095</v>
      </c>
      <c r="C16" s="7" t="s">
        <v>23</v>
      </c>
      <c r="D16" s="19">
        <v>6237000</v>
      </c>
      <c r="E16" s="24">
        <f t="shared" si="1"/>
        <v>2933000</v>
      </c>
      <c r="F16" s="33">
        <f t="shared" si="3"/>
        <v>0.4702581369248036</v>
      </c>
      <c r="G16" s="19"/>
      <c r="H16" s="19"/>
      <c r="I16" s="19"/>
      <c r="J16" s="19"/>
      <c r="K16" s="19"/>
      <c r="L16" s="19"/>
      <c r="M16" s="19">
        <v>2933000</v>
      </c>
    </row>
    <row r="17" spans="1:13" s="5" customFormat="1" ht="12.75">
      <c r="A17" s="16">
        <v>630</v>
      </c>
      <c r="B17" s="16"/>
      <c r="C17" s="16" t="s">
        <v>24</v>
      </c>
      <c r="D17" s="20">
        <f>D18</f>
        <v>613000</v>
      </c>
      <c r="E17" s="23">
        <f t="shared" si="1"/>
        <v>5000</v>
      </c>
      <c r="F17" s="32">
        <f t="shared" si="3"/>
        <v>0.008156606851549755</v>
      </c>
      <c r="G17" s="20">
        <f>G18</f>
        <v>5000</v>
      </c>
      <c r="H17" s="20"/>
      <c r="I17" s="20"/>
      <c r="J17" s="20"/>
      <c r="K17" s="20"/>
      <c r="L17" s="20"/>
      <c r="M17" s="20"/>
    </row>
    <row r="18" spans="1:13" s="5" customFormat="1" ht="12.75">
      <c r="A18" s="7"/>
      <c r="B18" s="7">
        <v>63095</v>
      </c>
      <c r="C18" s="7" t="s">
        <v>23</v>
      </c>
      <c r="D18" s="19">
        <v>613000</v>
      </c>
      <c r="E18" s="24">
        <f t="shared" si="1"/>
        <v>5000</v>
      </c>
      <c r="F18" s="33">
        <f t="shared" si="3"/>
        <v>0.008156606851549755</v>
      </c>
      <c r="G18" s="19">
        <v>5000</v>
      </c>
      <c r="H18" s="19"/>
      <c r="I18" s="19"/>
      <c r="J18" s="19"/>
      <c r="K18" s="19"/>
      <c r="L18" s="19"/>
      <c r="M18" s="19"/>
    </row>
    <row r="19" spans="1:13" s="5" customFormat="1" ht="12.75">
      <c r="A19" s="16">
        <v>700</v>
      </c>
      <c r="B19" s="16"/>
      <c r="C19" s="16" t="s">
        <v>25</v>
      </c>
      <c r="D19" s="20">
        <f>SUM(D20:D22)</f>
        <v>13075452</v>
      </c>
      <c r="E19" s="23">
        <f>G19+M19</f>
        <v>15715000</v>
      </c>
      <c r="F19" s="32">
        <f t="shared" si="3"/>
        <v>1.201870497478787</v>
      </c>
      <c r="G19" s="20">
        <f>SUM(G20:G22)</f>
        <v>11215000</v>
      </c>
      <c r="H19" s="20">
        <f>SUM(H20:H21)</f>
        <v>0</v>
      </c>
      <c r="I19" s="20">
        <f>SUM(I20:I21)</f>
        <v>0</v>
      </c>
      <c r="J19" s="20">
        <f>SUM(J20:J21)</f>
        <v>0</v>
      </c>
      <c r="K19" s="20">
        <f>SUM(K20:K21)</f>
        <v>0</v>
      </c>
      <c r="L19" s="20">
        <f>SUM(L20:L21)</f>
        <v>0</v>
      </c>
      <c r="M19" s="20">
        <f>SUM(M20:M22)</f>
        <v>4500000</v>
      </c>
    </row>
    <row r="20" spans="1:13" s="5" customFormat="1" ht="25.5">
      <c r="A20" s="7"/>
      <c r="B20" s="7">
        <v>70005</v>
      </c>
      <c r="C20" s="7" t="s">
        <v>26</v>
      </c>
      <c r="D20" s="19">
        <v>3445952</v>
      </c>
      <c r="E20" s="24">
        <f t="shared" si="1"/>
        <v>3953000</v>
      </c>
      <c r="F20" s="33">
        <f t="shared" si="3"/>
        <v>1.1471430826662705</v>
      </c>
      <c r="G20" s="19">
        <v>453000</v>
      </c>
      <c r="H20" s="19"/>
      <c r="I20" s="19"/>
      <c r="J20" s="19"/>
      <c r="K20" s="19"/>
      <c r="L20" s="19"/>
      <c r="M20" s="22">
        <v>3500000</v>
      </c>
    </row>
    <row r="21" spans="1:13" s="5" customFormat="1" ht="25.5">
      <c r="A21" s="7"/>
      <c r="B21" s="7">
        <v>70021</v>
      </c>
      <c r="C21" s="7" t="s">
        <v>27</v>
      </c>
      <c r="D21" s="19">
        <v>9629500</v>
      </c>
      <c r="E21" s="24">
        <f>G21+M21</f>
        <v>10762000</v>
      </c>
      <c r="F21" s="33">
        <f t="shared" si="3"/>
        <v>1.117607352406667</v>
      </c>
      <c r="G21" s="19">
        <v>10762000</v>
      </c>
      <c r="H21" s="19"/>
      <c r="I21" s="19"/>
      <c r="J21" s="19"/>
      <c r="K21" s="19"/>
      <c r="L21" s="19"/>
      <c r="M21" s="19"/>
    </row>
    <row r="22" spans="1:13" s="5" customFormat="1" ht="12.75">
      <c r="A22" s="7"/>
      <c r="B22" s="7">
        <v>70095</v>
      </c>
      <c r="C22" s="7" t="s">
        <v>23</v>
      </c>
      <c r="D22" s="19"/>
      <c r="E22" s="24">
        <f>G22+M22</f>
        <v>1000000</v>
      </c>
      <c r="F22" s="33"/>
      <c r="G22" s="19"/>
      <c r="H22" s="19"/>
      <c r="I22" s="19"/>
      <c r="J22" s="19"/>
      <c r="K22" s="19"/>
      <c r="L22" s="19"/>
      <c r="M22" s="19">
        <v>1000000</v>
      </c>
    </row>
    <row r="23" spans="1:13" s="17" customFormat="1" ht="12.75">
      <c r="A23" s="16">
        <v>710</v>
      </c>
      <c r="B23" s="16"/>
      <c r="C23" s="16" t="s">
        <v>28</v>
      </c>
      <c r="D23" s="20">
        <f>SUM(D24:D27)</f>
        <v>740000</v>
      </c>
      <c r="E23" s="23">
        <f t="shared" si="1"/>
        <v>516000</v>
      </c>
      <c r="F23" s="32">
        <f t="shared" si="3"/>
        <v>0.6972972972972973</v>
      </c>
      <c r="G23" s="20">
        <f aca="true" t="shared" si="4" ref="G23:M23">SUM(G24:G27)</f>
        <v>516000</v>
      </c>
      <c r="H23" s="20">
        <f t="shared" si="4"/>
        <v>0</v>
      </c>
      <c r="I23" s="20">
        <f t="shared" si="4"/>
        <v>0</v>
      </c>
      <c r="J23" s="20">
        <f t="shared" si="4"/>
        <v>0</v>
      </c>
      <c r="K23" s="20">
        <f t="shared" si="4"/>
        <v>0</v>
      </c>
      <c r="L23" s="20">
        <f t="shared" si="4"/>
        <v>0</v>
      </c>
      <c r="M23" s="20">
        <f t="shared" si="4"/>
        <v>0</v>
      </c>
    </row>
    <row r="24" spans="1:13" s="5" customFormat="1" ht="25.5">
      <c r="A24" s="7"/>
      <c r="B24" s="7">
        <v>71004</v>
      </c>
      <c r="C24" s="7" t="s">
        <v>29</v>
      </c>
      <c r="D24" s="19">
        <v>440000</v>
      </c>
      <c r="E24" s="24">
        <f t="shared" si="1"/>
        <v>334000</v>
      </c>
      <c r="F24" s="33">
        <f t="shared" si="3"/>
        <v>0.759090909090909</v>
      </c>
      <c r="G24" s="19">
        <v>334000</v>
      </c>
      <c r="H24" s="19"/>
      <c r="I24" s="19"/>
      <c r="J24" s="19"/>
      <c r="K24" s="19"/>
      <c r="L24" s="19"/>
      <c r="M24" s="19"/>
    </row>
    <row r="25" spans="1:13" s="5" customFormat="1" ht="25.5">
      <c r="A25" s="7"/>
      <c r="B25" s="7">
        <v>71014</v>
      </c>
      <c r="C25" s="7" t="s">
        <v>30</v>
      </c>
      <c r="D25" s="19">
        <v>140000</v>
      </c>
      <c r="E25" s="24">
        <f t="shared" si="1"/>
        <v>80000</v>
      </c>
      <c r="F25" s="33">
        <f t="shared" si="3"/>
        <v>0.5714285714285714</v>
      </c>
      <c r="G25" s="19">
        <f>70000+10000</f>
        <v>80000</v>
      </c>
      <c r="H25" s="19"/>
      <c r="I25" s="19"/>
      <c r="J25" s="19"/>
      <c r="K25" s="19"/>
      <c r="L25" s="19"/>
      <c r="M25" s="19"/>
    </row>
    <row r="26" spans="1:13" s="5" customFormat="1" ht="12.75">
      <c r="A26" s="7"/>
      <c r="B26" s="7">
        <v>71035</v>
      </c>
      <c r="C26" s="7" t="s">
        <v>31</v>
      </c>
      <c r="D26" s="19">
        <v>60000</v>
      </c>
      <c r="E26" s="24">
        <f t="shared" si="1"/>
        <v>62000</v>
      </c>
      <c r="F26" s="33">
        <f t="shared" si="3"/>
        <v>1.0333333333333334</v>
      </c>
      <c r="G26" s="19">
        <v>62000</v>
      </c>
      <c r="H26" s="19"/>
      <c r="I26" s="19"/>
      <c r="J26" s="19"/>
      <c r="K26" s="19"/>
      <c r="L26" s="19"/>
      <c r="M26" s="19"/>
    </row>
    <row r="27" spans="1:13" s="5" customFormat="1" ht="12.75">
      <c r="A27" s="7"/>
      <c r="B27" s="7">
        <v>71095</v>
      </c>
      <c r="C27" s="7" t="s">
        <v>23</v>
      </c>
      <c r="D27" s="19">
        <v>100000</v>
      </c>
      <c r="E27" s="24">
        <f t="shared" si="1"/>
        <v>40000</v>
      </c>
      <c r="F27" s="33">
        <f t="shared" si="3"/>
        <v>0.4</v>
      </c>
      <c r="G27" s="19">
        <v>40000</v>
      </c>
      <c r="H27" s="19"/>
      <c r="I27" s="19"/>
      <c r="J27" s="19"/>
      <c r="K27" s="19"/>
      <c r="L27" s="19"/>
      <c r="M27" s="19"/>
    </row>
    <row r="28" spans="1:13" s="17" customFormat="1" ht="12.75">
      <c r="A28" s="16">
        <v>750</v>
      </c>
      <c r="B28" s="16"/>
      <c r="C28" s="16" t="s">
        <v>32</v>
      </c>
      <c r="D28" s="20">
        <f>SUM(D29:D33)</f>
        <v>13045732</v>
      </c>
      <c r="E28" s="23">
        <f t="shared" si="1"/>
        <v>13952242</v>
      </c>
      <c r="F28" s="32">
        <f t="shared" si="3"/>
        <v>1.069487093556728</v>
      </c>
      <c r="G28" s="20">
        <f aca="true" t="shared" si="5" ref="G28:M28">SUM(G29:G33)</f>
        <v>13713242</v>
      </c>
      <c r="H28" s="20">
        <f t="shared" si="5"/>
        <v>6879588</v>
      </c>
      <c r="I28" s="20">
        <f t="shared" si="5"/>
        <v>1363312</v>
      </c>
      <c r="J28" s="20">
        <f t="shared" si="5"/>
        <v>0</v>
      </c>
      <c r="K28" s="20">
        <f t="shared" si="5"/>
        <v>0</v>
      </c>
      <c r="L28" s="20">
        <f t="shared" si="5"/>
        <v>0</v>
      </c>
      <c r="M28" s="20">
        <f t="shared" si="5"/>
        <v>239000</v>
      </c>
    </row>
    <row r="29" spans="1:13" s="5" customFormat="1" ht="12.75">
      <c r="A29" s="31" t="s">
        <v>106</v>
      </c>
      <c r="B29" s="12">
        <v>75011</v>
      </c>
      <c r="C29" s="12" t="s">
        <v>33</v>
      </c>
      <c r="D29" s="21">
        <v>279000</v>
      </c>
      <c r="E29" s="24">
        <f t="shared" si="1"/>
        <v>283000</v>
      </c>
      <c r="F29" s="33">
        <f t="shared" si="3"/>
        <v>1.014336917562724</v>
      </c>
      <c r="G29" s="21">
        <v>283000</v>
      </c>
      <c r="H29" s="21">
        <f>G29*0.836</f>
        <v>236588</v>
      </c>
      <c r="I29" s="21">
        <f>G29*0.164</f>
        <v>46412</v>
      </c>
      <c r="J29" s="21"/>
      <c r="K29" s="21"/>
      <c r="L29" s="21"/>
      <c r="M29" s="21"/>
    </row>
    <row r="30" spans="1:13" s="5" customFormat="1" ht="25.5">
      <c r="A30" s="12"/>
      <c r="B30" s="12">
        <v>75022</v>
      </c>
      <c r="C30" s="12" t="s">
        <v>34</v>
      </c>
      <c r="D30" s="21">
        <v>341500</v>
      </c>
      <c r="E30" s="24">
        <f t="shared" si="1"/>
        <v>351100</v>
      </c>
      <c r="F30" s="33">
        <f t="shared" si="3"/>
        <v>1.0281112737920937</v>
      </c>
      <c r="G30" s="21">
        <v>351100</v>
      </c>
      <c r="H30" s="21"/>
      <c r="I30" s="21"/>
      <c r="J30" s="21"/>
      <c r="K30" s="21"/>
      <c r="L30" s="21"/>
      <c r="M30" s="21"/>
    </row>
    <row r="31" spans="1:13" s="5" customFormat="1" ht="25.5">
      <c r="A31" s="12"/>
      <c r="B31" s="12">
        <v>75023</v>
      </c>
      <c r="C31" s="12" t="s">
        <v>35</v>
      </c>
      <c r="D31" s="21">
        <v>9738946</v>
      </c>
      <c r="E31" s="24">
        <f t="shared" si="1"/>
        <v>10522400</v>
      </c>
      <c r="F31" s="33">
        <f t="shared" si="3"/>
        <v>1.0804454609359164</v>
      </c>
      <c r="G31" s="21">
        <f>2680400+7612000</f>
        <v>10292400</v>
      </c>
      <c r="H31" s="21">
        <f>6200000+142000</f>
        <v>6342000</v>
      </c>
      <c r="I31" s="21">
        <f>1100000+160000</f>
        <v>1260000</v>
      </c>
      <c r="J31" s="21"/>
      <c r="K31" s="21"/>
      <c r="L31" s="21"/>
      <c r="M31" s="22">
        <v>230000</v>
      </c>
    </row>
    <row r="32" spans="1:13" s="5" customFormat="1" ht="25.5">
      <c r="A32" s="12"/>
      <c r="B32" s="12">
        <v>75075</v>
      </c>
      <c r="C32" s="12" t="s">
        <v>36</v>
      </c>
      <c r="D32" s="21">
        <v>1858728</v>
      </c>
      <c r="E32" s="24">
        <f t="shared" si="1"/>
        <v>1773349</v>
      </c>
      <c r="F32" s="33">
        <f t="shared" si="3"/>
        <v>0.9540658988297374</v>
      </c>
      <c r="G32" s="21">
        <v>1764349</v>
      </c>
      <c r="H32" s="21">
        <f>251000+50000</f>
        <v>301000</v>
      </c>
      <c r="I32" s="21">
        <f>50100+6800</f>
        <v>56900</v>
      </c>
      <c r="J32" s="21"/>
      <c r="K32" s="21"/>
      <c r="L32" s="21"/>
      <c r="M32" s="22">
        <v>9000</v>
      </c>
    </row>
    <row r="33" spans="1:13" s="5" customFormat="1" ht="12.75">
      <c r="A33" s="12"/>
      <c r="B33" s="12">
        <v>75095</v>
      </c>
      <c r="C33" s="12" t="s">
        <v>23</v>
      </c>
      <c r="D33" s="21">
        <v>827558</v>
      </c>
      <c r="E33" s="24">
        <f t="shared" si="1"/>
        <v>1022393</v>
      </c>
      <c r="F33" s="33">
        <f t="shared" si="3"/>
        <v>1.2354336493635492</v>
      </c>
      <c r="G33" s="21">
        <f>34424+207969+780000</f>
        <v>1022393</v>
      </c>
      <c r="H33" s="21"/>
      <c r="I33" s="21"/>
      <c r="J33" s="21"/>
      <c r="K33" s="21"/>
      <c r="L33" s="21"/>
      <c r="M33" s="21"/>
    </row>
    <row r="34" spans="1:13" s="17" customFormat="1" ht="38.25">
      <c r="A34" s="16">
        <v>751</v>
      </c>
      <c r="B34" s="16"/>
      <c r="C34" s="16" t="s">
        <v>37</v>
      </c>
      <c r="D34" s="20">
        <f>SUM(D35:D36)</f>
        <v>61469</v>
      </c>
      <c r="E34" s="23">
        <f t="shared" si="1"/>
        <v>7725</v>
      </c>
      <c r="F34" s="32">
        <f t="shared" si="3"/>
        <v>0.12567310351559322</v>
      </c>
      <c r="G34" s="20">
        <f aca="true" t="shared" si="6" ref="G34:M34">SUM(G35:G36)</f>
        <v>7725</v>
      </c>
      <c r="H34" s="20">
        <f t="shared" si="6"/>
        <v>7725</v>
      </c>
      <c r="I34" s="20">
        <f t="shared" si="6"/>
        <v>0</v>
      </c>
      <c r="J34" s="20">
        <f t="shared" si="6"/>
        <v>0</v>
      </c>
      <c r="K34" s="20">
        <f t="shared" si="6"/>
        <v>0</v>
      </c>
      <c r="L34" s="20">
        <f t="shared" si="6"/>
        <v>0</v>
      </c>
      <c r="M34" s="20">
        <f t="shared" si="6"/>
        <v>0</v>
      </c>
    </row>
    <row r="35" spans="1:13" s="5" customFormat="1" ht="25.5">
      <c r="A35" s="31" t="s">
        <v>106</v>
      </c>
      <c r="B35" s="12">
        <v>75101</v>
      </c>
      <c r="C35" s="12" t="s">
        <v>37</v>
      </c>
      <c r="D35" s="21">
        <v>7574</v>
      </c>
      <c r="E35" s="24">
        <f t="shared" si="1"/>
        <v>7725</v>
      </c>
      <c r="F35" s="33">
        <f t="shared" si="3"/>
        <v>1.019936625297069</v>
      </c>
      <c r="G35" s="21">
        <v>7725</v>
      </c>
      <c r="H35" s="21">
        <v>7725</v>
      </c>
      <c r="I35" s="21"/>
      <c r="J35" s="21"/>
      <c r="K35" s="21"/>
      <c r="L35" s="21"/>
      <c r="M35" s="21"/>
    </row>
    <row r="36" spans="1:13" s="5" customFormat="1" ht="12.75">
      <c r="A36" s="31" t="s">
        <v>106</v>
      </c>
      <c r="B36" s="12">
        <v>75108</v>
      </c>
      <c r="C36" s="12" t="s">
        <v>101</v>
      </c>
      <c r="D36" s="21">
        <v>53895</v>
      </c>
      <c r="E36" s="24">
        <f t="shared" si="1"/>
        <v>0</v>
      </c>
      <c r="F36" s="33">
        <f t="shared" si="3"/>
        <v>0</v>
      </c>
      <c r="G36" s="21">
        <v>0</v>
      </c>
      <c r="H36" s="21"/>
      <c r="I36" s="21"/>
      <c r="J36" s="21"/>
      <c r="K36" s="21"/>
      <c r="L36" s="21"/>
      <c r="M36" s="21"/>
    </row>
    <row r="37" spans="1:13" s="17" customFormat="1" ht="25.5">
      <c r="A37" s="16">
        <v>754</v>
      </c>
      <c r="B37" s="16"/>
      <c r="C37" s="16" t="s">
        <v>38</v>
      </c>
      <c r="D37" s="20">
        <f>SUM(D38:D46)</f>
        <v>1859300</v>
      </c>
      <c r="E37" s="23">
        <f t="shared" si="1"/>
        <v>3133030</v>
      </c>
      <c r="F37" s="32">
        <f t="shared" si="3"/>
        <v>1.6850588931318238</v>
      </c>
      <c r="G37" s="20">
        <f aca="true" t="shared" si="7" ref="G37:M37">SUM(G38:G46)</f>
        <v>1724030</v>
      </c>
      <c r="H37" s="20">
        <f t="shared" si="7"/>
        <v>673000</v>
      </c>
      <c r="I37" s="20">
        <f t="shared" si="7"/>
        <v>142000</v>
      </c>
      <c r="J37" s="20">
        <f t="shared" si="7"/>
        <v>0</v>
      </c>
      <c r="K37" s="20">
        <f t="shared" si="7"/>
        <v>0</v>
      </c>
      <c r="L37" s="20">
        <f t="shared" si="7"/>
        <v>0</v>
      </c>
      <c r="M37" s="20">
        <f t="shared" si="7"/>
        <v>1409000</v>
      </c>
    </row>
    <row r="38" spans="1:13" s="5" customFormat="1" ht="12.75">
      <c r="A38" s="12"/>
      <c r="B38" s="12">
        <v>75405</v>
      </c>
      <c r="C38" s="12" t="s">
        <v>39</v>
      </c>
      <c r="D38" s="21">
        <v>35000</v>
      </c>
      <c r="E38" s="24">
        <f t="shared" si="1"/>
        <v>35000</v>
      </c>
      <c r="F38" s="33">
        <f t="shared" si="3"/>
        <v>1</v>
      </c>
      <c r="G38" s="21">
        <v>35000</v>
      </c>
      <c r="H38" s="21"/>
      <c r="I38" s="21"/>
      <c r="J38" s="21"/>
      <c r="K38" s="21"/>
      <c r="L38" s="21"/>
      <c r="M38" s="21"/>
    </row>
    <row r="39" spans="1:13" s="5" customFormat="1" ht="12.75">
      <c r="A39" s="12"/>
      <c r="B39" s="12">
        <v>75406</v>
      </c>
      <c r="C39" s="12" t="s">
        <v>40</v>
      </c>
      <c r="D39" s="21">
        <v>28000</v>
      </c>
      <c r="E39" s="24">
        <f>G39+M39</f>
        <v>30000</v>
      </c>
      <c r="F39" s="33">
        <f t="shared" si="3"/>
        <v>1.0714285714285714</v>
      </c>
      <c r="G39" s="21">
        <v>30000</v>
      </c>
      <c r="H39" s="21"/>
      <c r="I39" s="21"/>
      <c r="J39" s="21"/>
      <c r="K39" s="21"/>
      <c r="L39" s="21"/>
      <c r="M39" s="22"/>
    </row>
    <row r="40" spans="1:13" s="5" customFormat="1" ht="25.5">
      <c r="A40" s="12"/>
      <c r="B40" s="12">
        <v>75411</v>
      </c>
      <c r="C40" s="12" t="s">
        <v>41</v>
      </c>
      <c r="D40" s="21">
        <v>250000</v>
      </c>
      <c r="E40" s="24">
        <f t="shared" si="1"/>
        <v>0</v>
      </c>
      <c r="F40" s="33">
        <f t="shared" si="3"/>
        <v>0</v>
      </c>
      <c r="G40" s="21">
        <v>0</v>
      </c>
      <c r="H40" s="21"/>
      <c r="I40" s="21"/>
      <c r="J40" s="21"/>
      <c r="K40" s="21"/>
      <c r="L40" s="21"/>
      <c r="M40" s="22"/>
    </row>
    <row r="41" spans="1:13" s="5" customFormat="1" ht="12.75">
      <c r="A41" s="12"/>
      <c r="B41" s="12">
        <v>75412</v>
      </c>
      <c r="C41" s="12" t="s">
        <v>42</v>
      </c>
      <c r="D41" s="21">
        <v>93000</v>
      </c>
      <c r="E41" s="24">
        <f t="shared" si="1"/>
        <v>95000</v>
      </c>
      <c r="F41" s="33">
        <f t="shared" si="3"/>
        <v>1.021505376344086</v>
      </c>
      <c r="G41" s="21">
        <v>43000</v>
      </c>
      <c r="H41" s="21"/>
      <c r="I41" s="21"/>
      <c r="J41" s="21"/>
      <c r="K41" s="21"/>
      <c r="L41" s="21"/>
      <c r="M41" s="22">
        <v>52000</v>
      </c>
    </row>
    <row r="42" spans="1:13" s="5" customFormat="1" ht="15.75" customHeight="1">
      <c r="A42" s="12" t="s">
        <v>108</v>
      </c>
      <c r="B42" s="12">
        <v>75414</v>
      </c>
      <c r="C42" s="12" t="s">
        <v>43</v>
      </c>
      <c r="D42" s="21">
        <v>100000</v>
      </c>
      <c r="E42" s="24">
        <f t="shared" si="1"/>
        <v>76000</v>
      </c>
      <c r="F42" s="33">
        <f t="shared" si="3"/>
        <v>0.76</v>
      </c>
      <c r="G42" s="21">
        <v>76000</v>
      </c>
      <c r="H42" s="21"/>
      <c r="I42" s="21"/>
      <c r="J42" s="21"/>
      <c r="K42" s="21"/>
      <c r="L42" s="21"/>
      <c r="M42" s="22"/>
    </row>
    <row r="43" spans="1:13" s="5" customFormat="1" ht="12.75">
      <c r="A43" s="31" t="s">
        <v>106</v>
      </c>
      <c r="B43" s="12">
        <v>75414</v>
      </c>
      <c r="C43" s="12" t="s">
        <v>43</v>
      </c>
      <c r="D43" s="21">
        <v>4000</v>
      </c>
      <c r="E43" s="24">
        <f t="shared" si="1"/>
        <v>7000</v>
      </c>
      <c r="F43" s="33">
        <f t="shared" si="3"/>
        <v>1.75</v>
      </c>
      <c r="G43" s="21">
        <v>0</v>
      </c>
      <c r="H43" s="21"/>
      <c r="I43" s="21"/>
      <c r="J43" s="21"/>
      <c r="K43" s="21"/>
      <c r="L43" s="21"/>
      <c r="M43" s="22">
        <v>7000</v>
      </c>
    </row>
    <row r="44" spans="1:13" s="5" customFormat="1" ht="12.75">
      <c r="A44" s="12"/>
      <c r="B44" s="12">
        <v>75416</v>
      </c>
      <c r="C44" s="12" t="s">
        <v>44</v>
      </c>
      <c r="D44" s="21">
        <v>1099300</v>
      </c>
      <c r="E44" s="24">
        <f t="shared" si="1"/>
        <v>1180030</v>
      </c>
      <c r="F44" s="33">
        <f t="shared" si="3"/>
        <v>1.0734376421359046</v>
      </c>
      <c r="G44" s="21">
        <f>1027030+13000</f>
        <v>1040030</v>
      </c>
      <c r="H44" s="21">
        <f>673000</f>
        <v>673000</v>
      </c>
      <c r="I44" s="21">
        <f>124000+18000</f>
        <v>142000</v>
      </c>
      <c r="J44" s="21"/>
      <c r="K44" s="21"/>
      <c r="L44" s="21"/>
      <c r="M44" s="22">
        <v>140000</v>
      </c>
    </row>
    <row r="45" spans="1:13" s="5" customFormat="1" ht="12.75">
      <c r="A45" s="12"/>
      <c r="B45" s="12">
        <v>75421</v>
      </c>
      <c r="C45" s="12" t="s">
        <v>112</v>
      </c>
      <c r="D45" s="21"/>
      <c r="E45" s="24">
        <f t="shared" si="1"/>
        <v>500000</v>
      </c>
      <c r="F45" s="33"/>
      <c r="G45" s="21">
        <v>500000</v>
      </c>
      <c r="H45" s="21"/>
      <c r="I45" s="21"/>
      <c r="J45" s="21"/>
      <c r="K45" s="21"/>
      <c r="L45" s="21"/>
      <c r="M45" s="22"/>
    </row>
    <row r="46" spans="1:13" s="5" customFormat="1" ht="12.75">
      <c r="A46" s="12"/>
      <c r="B46" s="12">
        <v>75495</v>
      </c>
      <c r="C46" s="12" t="s">
        <v>23</v>
      </c>
      <c r="D46" s="21">
        <v>250000</v>
      </c>
      <c r="E46" s="24">
        <f t="shared" si="1"/>
        <v>1210000</v>
      </c>
      <c r="F46" s="33">
        <f t="shared" si="3"/>
        <v>4.84</v>
      </c>
      <c r="G46" s="21"/>
      <c r="H46" s="21"/>
      <c r="I46" s="21"/>
      <c r="J46" s="21"/>
      <c r="K46" s="21"/>
      <c r="L46" s="21"/>
      <c r="M46" s="21">
        <v>1210000</v>
      </c>
    </row>
    <row r="47" spans="1:13" s="17" customFormat="1" ht="63.75">
      <c r="A47" s="16">
        <v>756</v>
      </c>
      <c r="B47" s="16"/>
      <c r="C47" s="16" t="s">
        <v>45</v>
      </c>
      <c r="D47" s="20">
        <f>SUM(D48:D49)</f>
        <v>1031954</v>
      </c>
      <c r="E47" s="23">
        <f>G47+M47</f>
        <v>1072928</v>
      </c>
      <c r="F47" s="32">
        <f t="shared" si="3"/>
        <v>1.0397052581801127</v>
      </c>
      <c r="G47" s="20">
        <f aca="true" t="shared" si="8" ref="G47:M47">SUM(G48:G49)</f>
        <v>1072928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20">
        <f t="shared" si="8"/>
        <v>0</v>
      </c>
      <c r="L47" s="20">
        <f t="shared" si="8"/>
        <v>0</v>
      </c>
      <c r="M47" s="20">
        <f t="shared" si="8"/>
        <v>0</v>
      </c>
    </row>
    <row r="48" spans="1:13" s="17" customFormat="1" ht="38.25">
      <c r="A48" s="12"/>
      <c r="B48" s="12">
        <v>75618</v>
      </c>
      <c r="C48" s="12" t="s">
        <v>102</v>
      </c>
      <c r="D48" s="21">
        <v>6954</v>
      </c>
      <c r="E48" s="23">
        <f t="shared" si="1"/>
        <v>2928</v>
      </c>
      <c r="F48" s="33">
        <f t="shared" si="3"/>
        <v>0.42105263157894735</v>
      </c>
      <c r="G48" s="21">
        <f>610+2318</f>
        <v>2928</v>
      </c>
      <c r="H48" s="21"/>
      <c r="I48" s="21"/>
      <c r="J48" s="21"/>
      <c r="K48" s="21"/>
      <c r="L48" s="21"/>
      <c r="M48" s="21"/>
    </row>
    <row r="49" spans="1:13" s="5" customFormat="1" ht="38.25">
      <c r="A49" s="12"/>
      <c r="B49" s="12">
        <v>75647</v>
      </c>
      <c r="C49" s="12" t="s">
        <v>46</v>
      </c>
      <c r="D49" s="21">
        <v>1025000</v>
      </c>
      <c r="E49" s="24">
        <f t="shared" si="1"/>
        <v>1070000</v>
      </c>
      <c r="F49" s="33">
        <f t="shared" si="3"/>
        <v>1.0439024390243903</v>
      </c>
      <c r="G49" s="21">
        <v>1070000</v>
      </c>
      <c r="H49" s="21"/>
      <c r="I49" s="21"/>
      <c r="J49" s="21"/>
      <c r="K49" s="21"/>
      <c r="L49" s="21"/>
      <c r="M49" s="21"/>
    </row>
    <row r="50" spans="1:13" s="17" customFormat="1" ht="12.75">
      <c r="A50" s="16">
        <v>757</v>
      </c>
      <c r="B50" s="16"/>
      <c r="C50" s="16" t="s">
        <v>47</v>
      </c>
      <c r="D50" s="20">
        <f>D51</f>
        <v>1200000</v>
      </c>
      <c r="E50" s="23">
        <f>E51</f>
        <v>1330000</v>
      </c>
      <c r="F50" s="32">
        <f t="shared" si="3"/>
        <v>1.1083333333333334</v>
      </c>
      <c r="G50" s="20">
        <f>G51</f>
        <v>1330000</v>
      </c>
      <c r="H50" s="20">
        <f>H51</f>
        <v>0</v>
      </c>
      <c r="I50" s="20">
        <f>I51</f>
        <v>0</v>
      </c>
      <c r="J50" s="20">
        <f>J51</f>
        <v>0</v>
      </c>
      <c r="K50" s="20">
        <v>1330000</v>
      </c>
      <c r="L50" s="20">
        <f>L51</f>
        <v>0</v>
      </c>
      <c r="M50" s="20">
        <f>M51</f>
        <v>0</v>
      </c>
    </row>
    <row r="51" spans="1:13" s="5" customFormat="1" ht="25.5">
      <c r="A51" s="12"/>
      <c r="B51" s="12">
        <v>75702</v>
      </c>
      <c r="C51" s="12" t="s">
        <v>48</v>
      </c>
      <c r="D51" s="21">
        <v>1200000</v>
      </c>
      <c r="E51" s="24">
        <f>G51+M51</f>
        <v>1330000</v>
      </c>
      <c r="F51" s="33">
        <f t="shared" si="3"/>
        <v>1.1083333333333334</v>
      </c>
      <c r="G51" s="21">
        <v>1330000</v>
      </c>
      <c r="H51" s="21"/>
      <c r="I51" s="21"/>
      <c r="J51" s="21"/>
      <c r="K51" s="21"/>
      <c r="L51" s="21"/>
      <c r="M51" s="21"/>
    </row>
    <row r="52" spans="1:13" s="17" customFormat="1" ht="12.75">
      <c r="A52" s="16">
        <v>758</v>
      </c>
      <c r="B52" s="16"/>
      <c r="C52" s="16" t="s">
        <v>49</v>
      </c>
      <c r="D52" s="20">
        <f>SUM(D53:D53)</f>
        <v>306999</v>
      </c>
      <c r="E52" s="23">
        <f>SUM(E53:E53)</f>
        <v>1000000</v>
      </c>
      <c r="F52" s="32">
        <f t="shared" si="3"/>
        <v>3.2573396004547246</v>
      </c>
      <c r="G52" s="20">
        <f>SUM(G53:G53)</f>
        <v>1000000</v>
      </c>
      <c r="H52" s="20">
        <f>SUM(H53:H53)</f>
        <v>0</v>
      </c>
      <c r="I52" s="20">
        <f>SUM(I53:I53)</f>
        <v>0</v>
      </c>
      <c r="J52" s="20">
        <f>SUM(J53:J53)</f>
        <v>0</v>
      </c>
      <c r="K52" s="20">
        <f>SUM(K53:K53)</f>
        <v>0</v>
      </c>
      <c r="L52" s="20"/>
      <c r="M52" s="20"/>
    </row>
    <row r="53" spans="1:13" s="5" customFormat="1" ht="12.75">
      <c r="A53" s="12"/>
      <c r="B53" s="12">
        <v>75818</v>
      </c>
      <c r="C53" s="12" t="s">
        <v>50</v>
      </c>
      <c r="D53" s="21">
        <v>306999</v>
      </c>
      <c r="E53" s="24">
        <f t="shared" si="1"/>
        <v>1000000</v>
      </c>
      <c r="F53" s="33">
        <f t="shared" si="3"/>
        <v>3.2573396004547246</v>
      </c>
      <c r="G53" s="21">
        <v>1000000</v>
      </c>
      <c r="H53" s="21"/>
      <c r="I53" s="21"/>
      <c r="J53" s="21"/>
      <c r="K53" s="21"/>
      <c r="L53" s="21"/>
      <c r="M53" s="21"/>
    </row>
    <row r="54" spans="1:13" s="17" customFormat="1" ht="12.75">
      <c r="A54" s="16">
        <v>801</v>
      </c>
      <c r="B54" s="16"/>
      <c r="C54" s="16" t="s">
        <v>111</v>
      </c>
      <c r="D54" s="20">
        <f>D55+D64+D68+D69+D75+D76</f>
        <v>29434934</v>
      </c>
      <c r="E54" s="23">
        <f>G54+M54</f>
        <v>33581531</v>
      </c>
      <c r="F54" s="32">
        <f t="shared" si="3"/>
        <v>1.1408733241936264</v>
      </c>
      <c r="G54" s="20">
        <f aca="true" t="shared" si="9" ref="G54:M54">SUM(G55+G64+G68+G69+G75+G76)</f>
        <v>31371191</v>
      </c>
      <c r="H54" s="20">
        <f t="shared" si="9"/>
        <v>15934693</v>
      </c>
      <c r="I54" s="20">
        <f t="shared" si="9"/>
        <v>3154532</v>
      </c>
      <c r="J54" s="20">
        <f t="shared" si="9"/>
        <v>6195067</v>
      </c>
      <c r="K54" s="20">
        <f t="shared" si="9"/>
        <v>0</v>
      </c>
      <c r="L54" s="20">
        <f t="shared" si="9"/>
        <v>0</v>
      </c>
      <c r="M54" s="20">
        <f t="shared" si="9"/>
        <v>2210340</v>
      </c>
    </row>
    <row r="55" spans="1:13" s="5" customFormat="1" ht="12.75">
      <c r="A55" s="12"/>
      <c r="B55" s="12">
        <v>80101</v>
      </c>
      <c r="C55" s="12" t="s">
        <v>83</v>
      </c>
      <c r="D55" s="21">
        <f>SUM(D56:D63)</f>
        <v>13591383</v>
      </c>
      <c r="E55" s="24">
        <f t="shared" si="1"/>
        <v>15237656</v>
      </c>
      <c r="F55" s="33">
        <f t="shared" si="3"/>
        <v>1.1211262312304788</v>
      </c>
      <c r="G55" s="21">
        <f aca="true" t="shared" si="10" ref="G55:L55">SUM(G56:G63)</f>
        <v>14731316</v>
      </c>
      <c r="H55" s="21">
        <f t="shared" si="10"/>
        <v>9406577</v>
      </c>
      <c r="I55" s="21">
        <f t="shared" si="10"/>
        <v>1845288</v>
      </c>
      <c r="J55" s="21">
        <f t="shared" si="10"/>
        <v>133441</v>
      </c>
      <c r="K55" s="21">
        <f t="shared" si="10"/>
        <v>0</v>
      </c>
      <c r="L55" s="21">
        <f t="shared" si="10"/>
        <v>0</v>
      </c>
      <c r="M55" s="21">
        <v>506340</v>
      </c>
    </row>
    <row r="56" spans="1:13" s="5" customFormat="1" ht="12.75">
      <c r="A56" s="12"/>
      <c r="B56" s="12"/>
      <c r="C56" s="12" t="s">
        <v>84</v>
      </c>
      <c r="D56" s="21">
        <v>2243132</v>
      </c>
      <c r="E56" s="24">
        <f t="shared" si="1"/>
        <v>2747000</v>
      </c>
      <c r="F56" s="33">
        <f t="shared" si="3"/>
        <v>1.2246269947555473</v>
      </c>
      <c r="G56" s="21">
        <v>2747000</v>
      </c>
      <c r="H56" s="21">
        <f>1696700+500</f>
        <v>1697200</v>
      </c>
      <c r="I56" s="21">
        <f>263800+42500</f>
        <v>306300</v>
      </c>
      <c r="J56" s="21"/>
      <c r="K56" s="21"/>
      <c r="L56" s="21"/>
      <c r="M56" s="21"/>
    </row>
    <row r="57" spans="1:13" s="5" customFormat="1" ht="12.75">
      <c r="A57" s="12"/>
      <c r="B57" s="12"/>
      <c r="C57" s="12" t="s">
        <v>85</v>
      </c>
      <c r="D57" s="21">
        <v>2836590</v>
      </c>
      <c r="E57" s="24">
        <f t="shared" si="1"/>
        <v>3115555</v>
      </c>
      <c r="F57" s="33">
        <f t="shared" si="3"/>
        <v>1.098345196168639</v>
      </c>
      <c r="G57" s="21">
        <v>3115555</v>
      </c>
      <c r="H57" s="21">
        <f>1931540+3000</f>
        <v>1934540</v>
      </c>
      <c r="I57" s="21">
        <f>364123+48747</f>
        <v>412870</v>
      </c>
      <c r="J57" s="21"/>
      <c r="K57" s="21"/>
      <c r="L57" s="21"/>
      <c r="M57" s="21"/>
    </row>
    <row r="58" spans="1:13" s="5" customFormat="1" ht="12.75">
      <c r="A58" s="12"/>
      <c r="B58" s="12"/>
      <c r="C58" s="12" t="s">
        <v>86</v>
      </c>
      <c r="D58" s="21">
        <v>2927886</v>
      </c>
      <c r="E58" s="24">
        <f>G58+M58</f>
        <v>3085000</v>
      </c>
      <c r="F58" s="33">
        <f t="shared" si="3"/>
        <v>1.0536612422751432</v>
      </c>
      <c r="G58" s="21">
        <v>3085000</v>
      </c>
      <c r="H58" s="21">
        <f>2064400</f>
        <v>2064400</v>
      </c>
      <c r="I58" s="21">
        <f>357200+54700</f>
        <v>411900</v>
      </c>
      <c r="J58" s="21"/>
      <c r="K58" s="21"/>
      <c r="L58" s="21"/>
      <c r="M58" s="21"/>
    </row>
    <row r="59" spans="1:13" s="5" customFormat="1" ht="12.75">
      <c r="A59" s="12"/>
      <c r="B59" s="12"/>
      <c r="C59" s="12" t="s">
        <v>87</v>
      </c>
      <c r="D59" s="21">
        <v>2058924</v>
      </c>
      <c r="E59" s="24">
        <f t="shared" si="1"/>
        <v>2172000</v>
      </c>
      <c r="F59" s="33">
        <f t="shared" si="3"/>
        <v>1.0549199484779428</v>
      </c>
      <c r="G59" s="21">
        <v>2172000</v>
      </c>
      <c r="H59" s="21">
        <f>1428000+6700</f>
        <v>1434700</v>
      </c>
      <c r="I59" s="21">
        <f>235000+37400</f>
        <v>272400</v>
      </c>
      <c r="J59" s="21"/>
      <c r="K59" s="21"/>
      <c r="L59" s="21"/>
      <c r="M59" s="21"/>
    </row>
    <row r="60" spans="1:13" s="5" customFormat="1" ht="12.75">
      <c r="A60" s="12"/>
      <c r="B60" s="12"/>
      <c r="C60" s="12" t="s">
        <v>88</v>
      </c>
      <c r="D60" s="21">
        <v>2301738</v>
      </c>
      <c r="E60" s="24">
        <f t="shared" si="1"/>
        <v>2496900</v>
      </c>
      <c r="F60" s="33">
        <f t="shared" si="3"/>
        <v>1.0847889725068622</v>
      </c>
      <c r="G60" s="21">
        <v>2496900</v>
      </c>
      <c r="H60" s="21">
        <f>1693800+3000</f>
        <v>1696800</v>
      </c>
      <c r="I60" s="21">
        <f>295700+42000</f>
        <v>337700</v>
      </c>
      <c r="J60" s="21"/>
      <c r="K60" s="21"/>
      <c r="L60" s="21"/>
      <c r="M60" s="21"/>
    </row>
    <row r="61" spans="1:13" s="5" customFormat="1" ht="12.75">
      <c r="A61" s="12"/>
      <c r="B61" s="12"/>
      <c r="C61" s="12" t="s">
        <v>89</v>
      </c>
      <c r="D61" s="21">
        <v>1018352</v>
      </c>
      <c r="E61" s="24">
        <f t="shared" si="1"/>
        <v>934420</v>
      </c>
      <c r="F61" s="33">
        <f t="shared" si="3"/>
        <v>0.9175805615347149</v>
      </c>
      <c r="G61" s="21">
        <v>934420</v>
      </c>
      <c r="H61" s="21">
        <f>572937+6000</f>
        <v>578937</v>
      </c>
      <c r="I61" s="21">
        <f>89023+15095</f>
        <v>104118</v>
      </c>
      <c r="J61" s="21"/>
      <c r="K61" s="21"/>
      <c r="L61" s="21"/>
      <c r="M61" s="21"/>
    </row>
    <row r="62" spans="1:13" s="5" customFormat="1" ht="12.75">
      <c r="A62" s="12"/>
      <c r="B62" s="12"/>
      <c r="C62" s="12" t="s">
        <v>90</v>
      </c>
      <c r="D62" s="21">
        <v>159086</v>
      </c>
      <c r="E62" s="24">
        <f t="shared" si="1"/>
        <v>133441</v>
      </c>
      <c r="F62" s="33">
        <f t="shared" si="3"/>
        <v>0.8387978829061011</v>
      </c>
      <c r="G62" s="21">
        <v>133441</v>
      </c>
      <c r="H62" s="21"/>
      <c r="I62" s="21"/>
      <c r="J62" s="21">
        <v>133441</v>
      </c>
      <c r="K62" s="21"/>
      <c r="L62" s="21"/>
      <c r="M62" s="21"/>
    </row>
    <row r="63" spans="1:13" s="5" customFormat="1" ht="25.5">
      <c r="A63" s="12"/>
      <c r="B63" s="12"/>
      <c r="C63" s="12" t="s">
        <v>91</v>
      </c>
      <c r="D63" s="21">
        <v>45675</v>
      </c>
      <c r="E63" s="24">
        <f t="shared" si="1"/>
        <v>47000</v>
      </c>
      <c r="F63" s="33">
        <f t="shared" si="3"/>
        <v>1.0290093048713738</v>
      </c>
      <c r="G63" s="21">
        <v>47000</v>
      </c>
      <c r="H63" s="21"/>
      <c r="I63" s="21"/>
      <c r="J63" s="21"/>
      <c r="K63" s="21"/>
      <c r="L63" s="21"/>
      <c r="M63" s="21"/>
    </row>
    <row r="64" spans="1:13" s="5" customFormat="1" ht="25.5">
      <c r="A64" s="12"/>
      <c r="B64" s="12">
        <v>80103</v>
      </c>
      <c r="C64" s="12" t="s">
        <v>92</v>
      </c>
      <c r="D64" s="21">
        <f>SUM(D65:D67)</f>
        <v>314420</v>
      </c>
      <c r="E64" s="24">
        <f t="shared" si="1"/>
        <v>340386</v>
      </c>
      <c r="F64" s="33">
        <f t="shared" si="3"/>
        <v>1.0825838051014567</v>
      </c>
      <c r="G64" s="21">
        <f aca="true" t="shared" si="11" ref="G64:M64">SUM(G65:G67)</f>
        <v>340386</v>
      </c>
      <c r="H64" s="21">
        <f t="shared" si="11"/>
        <v>227710</v>
      </c>
      <c r="I64" s="21">
        <f t="shared" si="11"/>
        <v>41981</v>
      </c>
      <c r="J64" s="21">
        <f t="shared" si="11"/>
        <v>0</v>
      </c>
      <c r="K64" s="21">
        <f t="shared" si="11"/>
        <v>0</v>
      </c>
      <c r="L64" s="21">
        <f t="shared" si="11"/>
        <v>0</v>
      </c>
      <c r="M64" s="21">
        <f t="shared" si="11"/>
        <v>0</v>
      </c>
    </row>
    <row r="65" spans="1:13" s="5" customFormat="1" ht="12.75">
      <c r="A65" s="12"/>
      <c r="B65" s="12"/>
      <c r="C65" s="12" t="s">
        <v>86</v>
      </c>
      <c r="D65" s="21">
        <v>116800</v>
      </c>
      <c r="E65" s="24">
        <f t="shared" si="1"/>
        <v>121900</v>
      </c>
      <c r="F65" s="33">
        <f t="shared" si="3"/>
        <v>1.043664383561644</v>
      </c>
      <c r="G65" s="21">
        <v>121900</v>
      </c>
      <c r="H65" s="21">
        <v>87300</v>
      </c>
      <c r="I65" s="21">
        <v>17400</v>
      </c>
      <c r="J65" s="21"/>
      <c r="K65" s="21"/>
      <c r="L65" s="21"/>
      <c r="M65" s="21"/>
    </row>
    <row r="66" spans="1:13" s="5" customFormat="1" ht="12.75">
      <c r="A66" s="12"/>
      <c r="B66" s="12"/>
      <c r="C66" s="12" t="s">
        <v>87</v>
      </c>
      <c r="D66" s="21">
        <v>111800</v>
      </c>
      <c r="E66" s="24">
        <f t="shared" si="1"/>
        <v>125000</v>
      </c>
      <c r="F66" s="33">
        <f t="shared" si="3"/>
        <v>1.118067978533095</v>
      </c>
      <c r="G66" s="21">
        <v>125000</v>
      </c>
      <c r="H66" s="21">
        <v>83200</v>
      </c>
      <c r="I66" s="21">
        <v>14500</v>
      </c>
      <c r="J66" s="21"/>
      <c r="K66" s="21"/>
      <c r="L66" s="21"/>
      <c r="M66" s="21"/>
    </row>
    <row r="67" spans="1:13" s="5" customFormat="1" ht="12.75">
      <c r="A67" s="12"/>
      <c r="B67" s="12"/>
      <c r="C67" s="12" t="s">
        <v>89</v>
      </c>
      <c r="D67" s="21">
        <v>85820</v>
      </c>
      <c r="E67" s="24">
        <f t="shared" si="1"/>
        <v>93486</v>
      </c>
      <c r="F67" s="33">
        <f t="shared" si="3"/>
        <v>1.089326497319972</v>
      </c>
      <c r="G67" s="21">
        <v>93486</v>
      </c>
      <c r="H67" s="21">
        <v>57210</v>
      </c>
      <c r="I67" s="21">
        <v>10081</v>
      </c>
      <c r="J67" s="21"/>
      <c r="K67" s="21"/>
      <c r="L67" s="21"/>
      <c r="M67" s="21"/>
    </row>
    <row r="68" spans="1:13" s="5" customFormat="1" ht="12.75">
      <c r="A68" s="12"/>
      <c r="B68" s="12">
        <v>80104</v>
      </c>
      <c r="C68" s="12" t="s">
        <v>51</v>
      </c>
      <c r="D68" s="21">
        <v>5168764</v>
      </c>
      <c r="E68" s="24">
        <f t="shared" si="1"/>
        <v>5876658</v>
      </c>
      <c r="F68" s="33">
        <f t="shared" si="3"/>
        <v>1.1369561465758544</v>
      </c>
      <c r="G68" s="21">
        <v>5876658</v>
      </c>
      <c r="H68" s="21"/>
      <c r="I68" s="21"/>
      <c r="J68" s="21">
        <v>5876658</v>
      </c>
      <c r="K68" s="21"/>
      <c r="L68" s="21"/>
      <c r="M68" s="21"/>
    </row>
    <row r="69" spans="1:13" s="5" customFormat="1" ht="12.75">
      <c r="A69" s="12"/>
      <c r="B69" s="12">
        <v>80110</v>
      </c>
      <c r="C69" s="12" t="s">
        <v>52</v>
      </c>
      <c r="D69" s="21">
        <f>SUM(D70:D74)</f>
        <v>8991332</v>
      </c>
      <c r="E69" s="24">
        <f t="shared" si="1"/>
        <v>11305672</v>
      </c>
      <c r="F69" s="33">
        <f t="shared" si="3"/>
        <v>1.257396790597878</v>
      </c>
      <c r="G69" s="21">
        <f aca="true" t="shared" si="12" ref="G69:L69">SUM(G70:G74)</f>
        <v>9601672</v>
      </c>
      <c r="H69" s="21">
        <f t="shared" si="12"/>
        <v>6280197</v>
      </c>
      <c r="I69" s="21">
        <f t="shared" si="12"/>
        <v>1263234</v>
      </c>
      <c r="J69" s="21">
        <f t="shared" si="12"/>
        <v>184968</v>
      </c>
      <c r="K69" s="21">
        <f t="shared" si="12"/>
        <v>0</v>
      </c>
      <c r="L69" s="21">
        <f t="shared" si="12"/>
        <v>0</v>
      </c>
      <c r="M69" s="21">
        <f>1700000+4000</f>
        <v>1704000</v>
      </c>
    </row>
    <row r="70" spans="1:13" s="5" customFormat="1" ht="12.75">
      <c r="A70" s="12"/>
      <c r="B70" s="12"/>
      <c r="C70" s="12" t="s">
        <v>93</v>
      </c>
      <c r="D70" s="21">
        <v>2746067</v>
      </c>
      <c r="E70" s="24">
        <f t="shared" si="1"/>
        <v>2929122</v>
      </c>
      <c r="F70" s="33">
        <f t="shared" si="3"/>
        <v>1.066660791597583</v>
      </c>
      <c r="G70" s="21">
        <v>2929122</v>
      </c>
      <c r="H70" s="21">
        <v>2055251</v>
      </c>
      <c r="I70" s="21">
        <v>399116</v>
      </c>
      <c r="J70" s="21"/>
      <c r="K70" s="21"/>
      <c r="L70" s="21"/>
      <c r="M70" s="21"/>
    </row>
    <row r="71" spans="1:13" s="5" customFormat="1" ht="12.75">
      <c r="A71" s="12"/>
      <c r="B71" s="12"/>
      <c r="C71" s="12" t="s">
        <v>95</v>
      </c>
      <c r="D71" s="21">
        <v>2234713</v>
      </c>
      <c r="E71" s="24">
        <f aca="true" t="shared" si="13" ref="E71:E117">G71+M71</f>
        <v>2370000</v>
      </c>
      <c r="F71" s="33">
        <f t="shared" si="3"/>
        <v>1.060538870092043</v>
      </c>
      <c r="G71" s="21">
        <v>2370000</v>
      </c>
      <c r="H71" s="21">
        <v>1538626</v>
      </c>
      <c r="I71" s="21">
        <v>314508</v>
      </c>
      <c r="J71" s="21"/>
      <c r="K71" s="21"/>
      <c r="L71" s="21"/>
      <c r="M71" s="21"/>
    </row>
    <row r="72" spans="1:13" s="5" customFormat="1" ht="12.75">
      <c r="A72" s="12"/>
      <c r="B72" s="12"/>
      <c r="C72" s="12" t="s">
        <v>94</v>
      </c>
      <c r="D72" s="21">
        <v>3205089</v>
      </c>
      <c r="E72" s="24">
        <f t="shared" si="13"/>
        <v>3396000</v>
      </c>
      <c r="F72" s="33">
        <f t="shared" si="3"/>
        <v>1.059564960598598</v>
      </c>
      <c r="G72" s="21">
        <v>3392000</v>
      </c>
      <c r="H72" s="21">
        <v>2204500</v>
      </c>
      <c r="I72" s="21">
        <v>462500</v>
      </c>
      <c r="J72" s="21"/>
      <c r="K72" s="21"/>
      <c r="L72" s="21"/>
      <c r="M72" s="22">
        <v>4000</v>
      </c>
    </row>
    <row r="73" spans="1:13" s="5" customFormat="1" ht="12.75">
      <c r="A73" s="12"/>
      <c r="B73" s="12"/>
      <c r="C73" s="12" t="s">
        <v>96</v>
      </c>
      <c r="D73" s="21">
        <v>607122</v>
      </c>
      <c r="E73" s="24">
        <f t="shared" si="13"/>
        <v>725582</v>
      </c>
      <c r="F73" s="33">
        <f t="shared" si="3"/>
        <v>1.1951172910881174</v>
      </c>
      <c r="G73" s="21">
        <v>725582</v>
      </c>
      <c r="H73" s="21">
        <v>481820</v>
      </c>
      <c r="I73" s="21">
        <v>87110</v>
      </c>
      <c r="J73" s="21"/>
      <c r="K73" s="21"/>
      <c r="L73" s="21"/>
      <c r="M73" s="21"/>
    </row>
    <row r="74" spans="1:13" s="5" customFormat="1" ht="12.75">
      <c r="A74" s="12"/>
      <c r="B74" s="12"/>
      <c r="C74" s="12" t="s">
        <v>97</v>
      </c>
      <c r="D74" s="21">
        <v>198341</v>
      </c>
      <c r="E74" s="24">
        <f t="shared" si="13"/>
        <v>184968</v>
      </c>
      <c r="F74" s="33">
        <f t="shared" si="3"/>
        <v>0.932575715560575</v>
      </c>
      <c r="G74" s="21">
        <v>184968</v>
      </c>
      <c r="H74" s="21"/>
      <c r="I74" s="21"/>
      <c r="J74" s="21">
        <v>184968</v>
      </c>
      <c r="K74" s="21"/>
      <c r="L74" s="21"/>
      <c r="M74" s="21"/>
    </row>
    <row r="75" spans="1:13" s="5" customFormat="1" ht="12.75">
      <c r="A75" s="12"/>
      <c r="B75" s="12">
        <v>80146</v>
      </c>
      <c r="C75" s="12" t="s">
        <v>53</v>
      </c>
      <c r="D75" s="21">
        <v>148401</v>
      </c>
      <c r="E75" s="24">
        <f t="shared" si="13"/>
        <v>149740</v>
      </c>
      <c r="F75" s="33">
        <f aca="true" t="shared" si="14" ref="F75:F117">E75/D75</f>
        <v>1.0090228502503353</v>
      </c>
      <c r="G75" s="21">
        <v>149740</v>
      </c>
      <c r="H75" s="21"/>
      <c r="I75" s="21"/>
      <c r="J75" s="21"/>
      <c r="K75" s="21"/>
      <c r="L75" s="21"/>
      <c r="M75" s="21"/>
    </row>
    <row r="76" spans="1:13" s="5" customFormat="1" ht="12.75">
      <c r="A76" s="12"/>
      <c r="B76" s="12">
        <v>80195</v>
      </c>
      <c r="C76" s="12" t="s">
        <v>23</v>
      </c>
      <c r="D76" s="21">
        <v>1220634</v>
      </c>
      <c r="E76" s="24">
        <f t="shared" si="13"/>
        <v>671419</v>
      </c>
      <c r="F76" s="33">
        <f t="shared" si="14"/>
        <v>0.5500575930213315</v>
      </c>
      <c r="G76" s="21">
        <v>671419</v>
      </c>
      <c r="H76" s="21">
        <v>20209</v>
      </c>
      <c r="I76" s="21">
        <v>4029</v>
      </c>
      <c r="J76" s="21"/>
      <c r="K76" s="21"/>
      <c r="L76" s="21"/>
      <c r="M76" s="21"/>
    </row>
    <row r="77" spans="1:13" s="17" customFormat="1" ht="12.75">
      <c r="A77" s="16">
        <v>851</v>
      </c>
      <c r="B77" s="16"/>
      <c r="C77" s="16" t="s">
        <v>54</v>
      </c>
      <c r="D77" s="20">
        <f>SUM(D78:D82)</f>
        <v>1404159</v>
      </c>
      <c r="E77" s="23">
        <f t="shared" si="13"/>
        <v>1561000</v>
      </c>
      <c r="F77" s="32">
        <f t="shared" si="14"/>
        <v>1.1116974644609336</v>
      </c>
      <c r="G77" s="20">
        <f>SUM(G78:G82)</f>
        <v>1061000</v>
      </c>
      <c r="H77" s="20">
        <f aca="true" t="shared" si="15" ref="H77:M77">SUM(H78:H82)</f>
        <v>138300</v>
      </c>
      <c r="I77" s="20">
        <f t="shared" si="15"/>
        <v>17103</v>
      </c>
      <c r="J77" s="20">
        <f t="shared" si="15"/>
        <v>393000</v>
      </c>
      <c r="K77" s="20">
        <f t="shared" si="15"/>
        <v>0</v>
      </c>
      <c r="L77" s="20">
        <f t="shared" si="15"/>
        <v>0</v>
      </c>
      <c r="M77" s="20">
        <f t="shared" si="15"/>
        <v>500000</v>
      </c>
    </row>
    <row r="78" spans="1:13" s="5" customFormat="1" ht="12.75">
      <c r="A78" s="12"/>
      <c r="B78" s="12">
        <v>85111</v>
      </c>
      <c r="C78" s="12" t="s">
        <v>55</v>
      </c>
      <c r="D78" s="21">
        <v>25000</v>
      </c>
      <c r="E78" s="24">
        <f t="shared" si="13"/>
        <v>150000</v>
      </c>
      <c r="F78" s="33">
        <f t="shared" si="14"/>
        <v>6</v>
      </c>
      <c r="G78" s="21">
        <v>150000</v>
      </c>
      <c r="H78" s="21"/>
      <c r="I78" s="21"/>
      <c r="J78" s="21">
        <v>150000</v>
      </c>
      <c r="K78" s="21"/>
      <c r="L78" s="21"/>
      <c r="M78" s="21"/>
    </row>
    <row r="79" spans="1:13" s="5" customFormat="1" ht="12.75">
      <c r="A79" s="12"/>
      <c r="B79" s="12">
        <v>85153</v>
      </c>
      <c r="C79" s="12" t="s">
        <v>56</v>
      </c>
      <c r="D79" s="21">
        <v>100000</v>
      </c>
      <c r="E79" s="24">
        <f t="shared" si="13"/>
        <v>80000</v>
      </c>
      <c r="F79" s="33">
        <f t="shared" si="14"/>
        <v>0.8</v>
      </c>
      <c r="G79" s="21">
        <v>80000</v>
      </c>
      <c r="H79" s="21">
        <v>7000</v>
      </c>
      <c r="I79" s="21">
        <v>1370</v>
      </c>
      <c r="J79" s="21"/>
      <c r="K79" s="21"/>
      <c r="L79" s="21"/>
      <c r="M79" s="21"/>
    </row>
    <row r="80" spans="1:13" s="5" customFormat="1" ht="12.75">
      <c r="A80" s="12"/>
      <c r="B80" s="12">
        <v>85154</v>
      </c>
      <c r="C80" s="12" t="s">
        <v>57</v>
      </c>
      <c r="D80" s="21">
        <v>1270159</v>
      </c>
      <c r="E80" s="24">
        <f t="shared" si="13"/>
        <v>1320000</v>
      </c>
      <c r="F80" s="33">
        <f t="shared" si="14"/>
        <v>1.0392399691692142</v>
      </c>
      <c r="G80" s="21">
        <v>820000</v>
      </c>
      <c r="H80" s="21">
        <v>130000</v>
      </c>
      <c r="I80" s="21">
        <v>15500</v>
      </c>
      <c r="J80" s="21">
        <v>243000</v>
      </c>
      <c r="K80" s="21"/>
      <c r="L80" s="21"/>
      <c r="M80" s="21">
        <v>500000</v>
      </c>
    </row>
    <row r="81" spans="1:13" s="5" customFormat="1" ht="12.75">
      <c r="A81" s="12"/>
      <c r="B81" s="12">
        <v>85195</v>
      </c>
      <c r="C81" s="12" t="s">
        <v>23</v>
      </c>
      <c r="D81" s="21">
        <v>7000</v>
      </c>
      <c r="E81" s="24">
        <f t="shared" si="13"/>
        <v>9000</v>
      </c>
      <c r="F81" s="33">
        <f t="shared" si="14"/>
        <v>1.2857142857142858</v>
      </c>
      <c r="G81" s="21">
        <v>9000</v>
      </c>
      <c r="H81" s="21"/>
      <c r="I81" s="21"/>
      <c r="J81" s="21"/>
      <c r="K81" s="21"/>
      <c r="L81" s="21"/>
      <c r="M81" s="21"/>
    </row>
    <row r="82" spans="1:13" s="5" customFormat="1" ht="12.75">
      <c r="A82" s="31" t="s">
        <v>106</v>
      </c>
      <c r="B82" s="12">
        <v>85195</v>
      </c>
      <c r="C82" s="12" t="s">
        <v>23</v>
      </c>
      <c r="D82" s="21">
        <v>2000</v>
      </c>
      <c r="E82" s="24">
        <f t="shared" si="13"/>
        <v>2000</v>
      </c>
      <c r="F82" s="33">
        <f t="shared" si="14"/>
        <v>1</v>
      </c>
      <c r="G82" s="21">
        <v>2000</v>
      </c>
      <c r="H82" s="21">
        <v>1300</v>
      </c>
      <c r="I82" s="21">
        <f>201+32</f>
        <v>233</v>
      </c>
      <c r="J82" s="21"/>
      <c r="K82" s="21"/>
      <c r="L82" s="21"/>
      <c r="M82" s="21"/>
    </row>
    <row r="83" spans="1:13" s="17" customFormat="1" ht="12.75">
      <c r="A83" s="16">
        <v>852</v>
      </c>
      <c r="B83" s="16"/>
      <c r="C83" s="16" t="s">
        <v>58</v>
      </c>
      <c r="D83" s="20">
        <f>SUM(D84:D95)</f>
        <v>18838057</v>
      </c>
      <c r="E83" s="23">
        <f t="shared" si="13"/>
        <v>17076774</v>
      </c>
      <c r="F83" s="32">
        <f t="shared" si="14"/>
        <v>0.9065039987935062</v>
      </c>
      <c r="G83" s="20">
        <f aca="true" t="shared" si="16" ref="G83:M83">SUM(G84:G95)</f>
        <v>17076774</v>
      </c>
      <c r="H83" s="20">
        <f t="shared" si="16"/>
        <v>2464868</v>
      </c>
      <c r="I83" s="20">
        <f t="shared" si="16"/>
        <v>461357</v>
      </c>
      <c r="J83" s="20">
        <f t="shared" si="16"/>
        <v>0</v>
      </c>
      <c r="K83" s="20">
        <f t="shared" si="16"/>
        <v>0</v>
      </c>
      <c r="L83" s="20">
        <f t="shared" si="16"/>
        <v>0</v>
      </c>
      <c r="M83" s="20">
        <f t="shared" si="16"/>
        <v>0</v>
      </c>
    </row>
    <row r="84" spans="1:13" s="5" customFormat="1" ht="12.75">
      <c r="A84" s="12"/>
      <c r="B84" s="12">
        <v>85203</v>
      </c>
      <c r="C84" s="12" t="s">
        <v>59</v>
      </c>
      <c r="D84" s="21">
        <v>193060</v>
      </c>
      <c r="E84" s="24">
        <f t="shared" si="13"/>
        <v>199518</v>
      </c>
      <c r="F84" s="33">
        <f t="shared" si="14"/>
        <v>1.0334507407023723</v>
      </c>
      <c r="G84" s="21">
        <v>199518</v>
      </c>
      <c r="H84" s="21">
        <v>98518</v>
      </c>
      <c r="I84" s="21">
        <v>20555</v>
      </c>
      <c r="J84" s="21"/>
      <c r="K84" s="21"/>
      <c r="L84" s="21"/>
      <c r="M84" s="21"/>
    </row>
    <row r="85" spans="1:13" s="5" customFormat="1" ht="38.25">
      <c r="A85" s="12"/>
      <c r="B85" s="12">
        <v>85212</v>
      </c>
      <c r="C85" s="12" t="s">
        <v>60</v>
      </c>
      <c r="D85" s="21"/>
      <c r="E85" s="24">
        <f t="shared" si="13"/>
        <v>10000</v>
      </c>
      <c r="F85" s="33"/>
      <c r="G85" s="21">
        <v>10000</v>
      </c>
      <c r="H85" s="21"/>
      <c r="I85" s="21"/>
      <c r="J85" s="21"/>
      <c r="K85" s="21"/>
      <c r="L85" s="21"/>
      <c r="M85" s="21"/>
    </row>
    <row r="86" spans="1:13" s="5" customFormat="1" ht="38.25">
      <c r="A86" s="31" t="s">
        <v>106</v>
      </c>
      <c r="B86" s="12">
        <v>85212</v>
      </c>
      <c r="C86" s="12" t="s">
        <v>60</v>
      </c>
      <c r="D86" s="21">
        <v>10048400</v>
      </c>
      <c r="E86" s="24">
        <f t="shared" si="13"/>
        <v>8442000</v>
      </c>
      <c r="F86" s="33">
        <f t="shared" si="14"/>
        <v>0.8401337526372358</v>
      </c>
      <c r="G86" s="21">
        <v>8442000</v>
      </c>
      <c r="H86" s="21">
        <f>165000+10000</f>
        <v>175000</v>
      </c>
      <c r="I86" s="21">
        <f>29027+4606</f>
        <v>33633</v>
      </c>
      <c r="J86" s="21"/>
      <c r="K86" s="21"/>
      <c r="L86" s="21"/>
      <c r="M86" s="21"/>
    </row>
    <row r="87" spans="1:13" s="5" customFormat="1" ht="63.75">
      <c r="A87" s="31" t="s">
        <v>106</v>
      </c>
      <c r="B87" s="12">
        <v>85213</v>
      </c>
      <c r="C87" s="12" t="s">
        <v>61</v>
      </c>
      <c r="D87" s="21">
        <v>124673</v>
      </c>
      <c r="E87" s="24">
        <f t="shared" si="13"/>
        <v>108000</v>
      </c>
      <c r="F87" s="33">
        <f t="shared" si="14"/>
        <v>0.8662661522542973</v>
      </c>
      <c r="G87" s="21">
        <v>108000</v>
      </c>
      <c r="H87" s="21"/>
      <c r="I87" s="21"/>
      <c r="J87" s="21"/>
      <c r="K87" s="21"/>
      <c r="L87" s="21"/>
      <c r="M87" s="21"/>
    </row>
    <row r="88" spans="1:13" s="5" customFormat="1" ht="38.25">
      <c r="A88" s="31"/>
      <c r="B88" s="12">
        <v>85214</v>
      </c>
      <c r="C88" s="12" t="s">
        <v>62</v>
      </c>
      <c r="D88" s="21">
        <v>2144252</v>
      </c>
      <c r="E88" s="24">
        <f t="shared" si="13"/>
        <v>2305000</v>
      </c>
      <c r="F88" s="33">
        <f t="shared" si="14"/>
        <v>1.0749669348565374</v>
      </c>
      <c r="G88" s="21">
        <f>2295000+10000</f>
        <v>2305000</v>
      </c>
      <c r="H88" s="21"/>
      <c r="I88" s="21"/>
      <c r="J88" s="21"/>
      <c r="K88" s="21"/>
      <c r="L88" s="21"/>
      <c r="M88" s="21"/>
    </row>
    <row r="89" spans="1:13" s="5" customFormat="1" ht="38.25">
      <c r="A89" s="31" t="s">
        <v>106</v>
      </c>
      <c r="B89" s="12">
        <v>85214</v>
      </c>
      <c r="C89" s="12" t="s">
        <v>62</v>
      </c>
      <c r="D89" s="21">
        <v>1146000</v>
      </c>
      <c r="E89" s="24">
        <f t="shared" si="13"/>
        <v>1052000</v>
      </c>
      <c r="F89" s="33">
        <f t="shared" si="14"/>
        <v>0.9179755671902269</v>
      </c>
      <c r="G89" s="21">
        <v>1052000</v>
      </c>
      <c r="H89" s="21"/>
      <c r="I89" s="21"/>
      <c r="J89" s="21"/>
      <c r="K89" s="21"/>
      <c r="L89" s="21"/>
      <c r="M89" s="21"/>
    </row>
    <row r="90" spans="1:13" s="5" customFormat="1" ht="12.75">
      <c r="A90" s="12"/>
      <c r="B90" s="12">
        <v>85215</v>
      </c>
      <c r="C90" s="12" t="s">
        <v>113</v>
      </c>
      <c r="D90" s="21">
        <v>1547000</v>
      </c>
      <c r="E90" s="24">
        <f t="shared" si="13"/>
        <v>1547000</v>
      </c>
      <c r="F90" s="33">
        <f t="shared" si="14"/>
        <v>1</v>
      </c>
      <c r="G90" s="21">
        <v>1547000</v>
      </c>
      <c r="H90" s="21"/>
      <c r="I90" s="21"/>
      <c r="J90" s="21"/>
      <c r="K90" s="21"/>
      <c r="L90" s="21"/>
      <c r="M90" s="21"/>
    </row>
    <row r="91" spans="1:13" s="5" customFormat="1" ht="12.75">
      <c r="A91" s="12"/>
      <c r="B91" s="12">
        <v>85219</v>
      </c>
      <c r="C91" s="12" t="s">
        <v>63</v>
      </c>
      <c r="D91" s="21">
        <v>2271040</v>
      </c>
      <c r="E91" s="24">
        <f t="shared" si="13"/>
        <v>2338406</v>
      </c>
      <c r="F91" s="33">
        <f t="shared" si="14"/>
        <v>1.0296630618571228</v>
      </c>
      <c r="G91" s="21">
        <v>2338406</v>
      </c>
      <c r="H91" s="21">
        <f>1547850+30200</f>
        <v>1578050</v>
      </c>
      <c r="I91" s="21">
        <f>263132+37149</f>
        <v>300281</v>
      </c>
      <c r="J91" s="21"/>
      <c r="K91" s="21"/>
      <c r="L91" s="21"/>
      <c r="M91" s="22"/>
    </row>
    <row r="92" spans="1:13" s="5" customFormat="1" ht="25.5">
      <c r="A92" s="12"/>
      <c r="B92" s="12">
        <v>85228</v>
      </c>
      <c r="C92" s="12" t="s">
        <v>64</v>
      </c>
      <c r="D92" s="21">
        <v>637000</v>
      </c>
      <c r="E92" s="24">
        <f t="shared" si="13"/>
        <v>675850</v>
      </c>
      <c r="F92" s="33">
        <f t="shared" si="14"/>
        <v>1.060989010989011</v>
      </c>
      <c r="G92" s="21">
        <v>675850</v>
      </c>
      <c r="H92" s="21">
        <v>516550</v>
      </c>
      <c r="I92" s="21">
        <v>97000</v>
      </c>
      <c r="J92" s="21"/>
      <c r="K92" s="21"/>
      <c r="L92" s="21"/>
      <c r="M92" s="22"/>
    </row>
    <row r="93" spans="1:13" s="5" customFormat="1" ht="25.5">
      <c r="A93" s="31" t="s">
        <v>106</v>
      </c>
      <c r="B93" s="12">
        <v>85228</v>
      </c>
      <c r="C93" s="12" t="s">
        <v>64</v>
      </c>
      <c r="D93" s="21">
        <v>151000</v>
      </c>
      <c r="E93" s="24">
        <f t="shared" si="13"/>
        <v>105000</v>
      </c>
      <c r="F93" s="33">
        <f t="shared" si="14"/>
        <v>0.695364238410596</v>
      </c>
      <c r="G93" s="21">
        <v>105000</v>
      </c>
      <c r="H93" s="21">
        <f>37000+48250</f>
        <v>85250</v>
      </c>
      <c r="I93" s="21">
        <f>8538+1350</f>
        <v>9888</v>
      </c>
      <c r="J93" s="21"/>
      <c r="K93" s="21"/>
      <c r="L93" s="21"/>
      <c r="M93" s="21"/>
    </row>
    <row r="94" spans="1:13" s="5" customFormat="1" ht="15.75" customHeight="1">
      <c r="A94" s="31" t="s">
        <v>106</v>
      </c>
      <c r="B94" s="12">
        <v>85278</v>
      </c>
      <c r="C94" s="12" t="s">
        <v>103</v>
      </c>
      <c r="D94" s="21">
        <v>1000</v>
      </c>
      <c r="E94" s="24">
        <f t="shared" si="13"/>
        <v>0</v>
      </c>
      <c r="F94" s="33">
        <f t="shared" si="14"/>
        <v>0</v>
      </c>
      <c r="G94" s="21">
        <v>0</v>
      </c>
      <c r="H94" s="21"/>
      <c r="I94" s="21"/>
      <c r="J94" s="21"/>
      <c r="K94" s="21"/>
      <c r="L94" s="21"/>
      <c r="M94" s="21"/>
    </row>
    <row r="95" spans="1:13" s="5" customFormat="1" ht="12.75">
      <c r="A95" s="12"/>
      <c r="B95" s="12">
        <v>85295</v>
      </c>
      <c r="C95" s="12" t="s">
        <v>23</v>
      </c>
      <c r="D95" s="21">
        <v>574632</v>
      </c>
      <c r="E95" s="24">
        <f t="shared" si="13"/>
        <v>294000</v>
      </c>
      <c r="F95" s="33">
        <f t="shared" si="14"/>
        <v>0.5116317921730777</v>
      </c>
      <c r="G95" s="21">
        <v>294000</v>
      </c>
      <c r="H95" s="21">
        <v>11500</v>
      </c>
      <c r="I95" s="21"/>
      <c r="J95" s="21"/>
      <c r="K95" s="21"/>
      <c r="L95" s="21"/>
      <c r="M95" s="21"/>
    </row>
    <row r="96" spans="1:13" s="17" customFormat="1" ht="25.5">
      <c r="A96" s="16">
        <v>853</v>
      </c>
      <c r="B96" s="16"/>
      <c r="C96" s="16" t="s">
        <v>65</v>
      </c>
      <c r="D96" s="20">
        <f>SUM(D97:D98)</f>
        <v>1126633</v>
      </c>
      <c r="E96" s="23">
        <f t="shared" si="13"/>
        <v>1274940</v>
      </c>
      <c r="F96" s="32">
        <f t="shared" si="14"/>
        <v>1.1316373654952412</v>
      </c>
      <c r="G96" s="20">
        <f aca="true" t="shared" si="17" ref="G96:M96">SUM(G97:G98)</f>
        <v>1274940</v>
      </c>
      <c r="H96" s="20">
        <f t="shared" si="17"/>
        <v>581940</v>
      </c>
      <c r="I96" s="20">
        <f t="shared" si="17"/>
        <v>110900</v>
      </c>
      <c r="J96" s="20">
        <f t="shared" si="17"/>
        <v>0</v>
      </c>
      <c r="K96" s="20">
        <f t="shared" si="17"/>
        <v>0</v>
      </c>
      <c r="L96" s="20">
        <f t="shared" si="17"/>
        <v>0</v>
      </c>
      <c r="M96" s="20">
        <f t="shared" si="17"/>
        <v>0</v>
      </c>
    </row>
    <row r="97" spans="1:13" s="5" customFormat="1" ht="12.75">
      <c r="A97" s="12"/>
      <c r="B97" s="12">
        <v>85305</v>
      </c>
      <c r="C97" s="12" t="s">
        <v>66</v>
      </c>
      <c r="D97" s="21">
        <v>1116000</v>
      </c>
      <c r="E97" s="24">
        <f t="shared" si="13"/>
        <v>1274940</v>
      </c>
      <c r="F97" s="33">
        <f t="shared" si="14"/>
        <v>1.1424193548387096</v>
      </c>
      <c r="G97" s="21">
        <v>1274940</v>
      </c>
      <c r="H97" s="21">
        <v>581940</v>
      </c>
      <c r="I97" s="21">
        <v>110900</v>
      </c>
      <c r="J97" s="21"/>
      <c r="K97" s="21"/>
      <c r="L97" s="21"/>
      <c r="M97" s="21"/>
    </row>
    <row r="98" spans="1:13" s="5" customFormat="1" ht="12.75">
      <c r="A98" s="12"/>
      <c r="B98" s="12">
        <v>85395</v>
      </c>
      <c r="C98" s="12" t="s">
        <v>23</v>
      </c>
      <c r="D98" s="21">
        <v>10633</v>
      </c>
      <c r="E98" s="24">
        <f t="shared" si="13"/>
        <v>0</v>
      </c>
      <c r="F98" s="33">
        <f t="shared" si="14"/>
        <v>0</v>
      </c>
      <c r="G98" s="21"/>
      <c r="H98" s="21"/>
      <c r="I98" s="21"/>
      <c r="J98" s="21"/>
      <c r="K98" s="21"/>
      <c r="L98" s="21"/>
      <c r="M98" s="21"/>
    </row>
    <row r="99" spans="1:13" s="17" customFormat="1" ht="15" customHeight="1">
      <c r="A99" s="16">
        <v>854</v>
      </c>
      <c r="B99" s="16"/>
      <c r="C99" s="16" t="s">
        <v>67</v>
      </c>
      <c r="D99" s="20">
        <f>SUM(D100:D102)</f>
        <v>1087796</v>
      </c>
      <c r="E99" s="23">
        <f t="shared" si="13"/>
        <v>770412</v>
      </c>
      <c r="F99" s="32">
        <f t="shared" si="14"/>
        <v>0.708232058216798</v>
      </c>
      <c r="G99" s="20">
        <f aca="true" t="shared" si="18" ref="G99:M99">SUM(G100:G102)</f>
        <v>770412</v>
      </c>
      <c r="H99" s="20">
        <f t="shared" si="18"/>
        <v>365511</v>
      </c>
      <c r="I99" s="20">
        <f t="shared" si="18"/>
        <v>72321</v>
      </c>
      <c r="J99" s="20">
        <f t="shared" si="18"/>
        <v>0</v>
      </c>
      <c r="K99" s="20">
        <f t="shared" si="18"/>
        <v>0</v>
      </c>
      <c r="L99" s="20">
        <f t="shared" si="18"/>
        <v>0</v>
      </c>
      <c r="M99" s="20">
        <f t="shared" si="18"/>
        <v>0</v>
      </c>
    </row>
    <row r="100" spans="1:13" s="5" customFormat="1" ht="12.75">
      <c r="A100" s="12"/>
      <c r="B100" s="12">
        <v>85401</v>
      </c>
      <c r="C100" s="12" t="s">
        <v>68</v>
      </c>
      <c r="D100" s="21">
        <v>463810</v>
      </c>
      <c r="E100" s="24">
        <f t="shared" si="13"/>
        <v>497704</v>
      </c>
      <c r="F100" s="33">
        <f t="shared" si="14"/>
        <v>1.0730773377029388</v>
      </c>
      <c r="G100" s="21">
        <v>497704</v>
      </c>
      <c r="H100" s="21">
        <v>360356</v>
      </c>
      <c r="I100" s="21">
        <v>72226</v>
      </c>
      <c r="J100" s="21"/>
      <c r="K100" s="21"/>
      <c r="L100" s="21"/>
      <c r="M100" s="21"/>
    </row>
    <row r="101" spans="1:13" s="5" customFormat="1" ht="12.75">
      <c r="A101" s="12"/>
      <c r="B101" s="12">
        <v>85415</v>
      </c>
      <c r="C101" s="12" t="s">
        <v>69</v>
      </c>
      <c r="D101" s="21">
        <v>614986</v>
      </c>
      <c r="E101" s="24">
        <f t="shared" si="13"/>
        <v>263708</v>
      </c>
      <c r="F101" s="33">
        <f t="shared" si="14"/>
        <v>0.4288032573099225</v>
      </c>
      <c r="G101" s="21">
        <v>263708</v>
      </c>
      <c r="H101" s="21"/>
      <c r="I101" s="21"/>
      <c r="J101" s="21"/>
      <c r="K101" s="21"/>
      <c r="L101" s="21"/>
      <c r="M101" s="21"/>
    </row>
    <row r="102" spans="1:13" s="5" customFormat="1" ht="12.75">
      <c r="A102" s="12"/>
      <c r="B102" s="12">
        <v>85417</v>
      </c>
      <c r="C102" s="12" t="s">
        <v>104</v>
      </c>
      <c r="D102" s="21">
        <v>9000</v>
      </c>
      <c r="E102" s="24">
        <f t="shared" si="13"/>
        <v>9000</v>
      </c>
      <c r="F102" s="33">
        <f t="shared" si="14"/>
        <v>1</v>
      </c>
      <c r="G102" s="21">
        <v>9000</v>
      </c>
      <c r="H102" s="21">
        <v>5155</v>
      </c>
      <c r="I102" s="21">
        <v>95</v>
      </c>
      <c r="J102" s="21"/>
      <c r="K102" s="21"/>
      <c r="L102" s="21"/>
      <c r="M102" s="21"/>
    </row>
    <row r="103" spans="1:13" s="17" customFormat="1" ht="25.5">
      <c r="A103" s="16">
        <v>900</v>
      </c>
      <c r="B103" s="16"/>
      <c r="C103" s="16" t="s">
        <v>70</v>
      </c>
      <c r="D103" s="20">
        <f>SUM(D104:D107)</f>
        <v>9202000</v>
      </c>
      <c r="E103" s="23">
        <f t="shared" si="13"/>
        <v>15918200</v>
      </c>
      <c r="F103" s="32">
        <f t="shared" si="14"/>
        <v>1.7298630732449467</v>
      </c>
      <c r="G103" s="20">
        <f aca="true" t="shared" si="19" ref="G103:M103">SUM(G104:G107)</f>
        <v>6992200</v>
      </c>
      <c r="H103" s="20">
        <f t="shared" si="19"/>
        <v>0</v>
      </c>
      <c r="I103" s="20">
        <f t="shared" si="19"/>
        <v>0</v>
      </c>
      <c r="J103" s="20">
        <f t="shared" si="19"/>
        <v>0</v>
      </c>
      <c r="K103" s="20">
        <f t="shared" si="19"/>
        <v>0</v>
      </c>
      <c r="L103" s="20">
        <f t="shared" si="19"/>
        <v>0</v>
      </c>
      <c r="M103" s="20">
        <f t="shared" si="19"/>
        <v>8926000</v>
      </c>
    </row>
    <row r="104" spans="1:13" s="5" customFormat="1" ht="12.75">
      <c r="A104" s="12"/>
      <c r="B104" s="12">
        <v>90003</v>
      </c>
      <c r="C104" s="12" t="s">
        <v>71</v>
      </c>
      <c r="D104" s="21">
        <v>2311000</v>
      </c>
      <c r="E104" s="24">
        <f t="shared" si="13"/>
        <v>2502000</v>
      </c>
      <c r="F104" s="33">
        <f t="shared" si="14"/>
        <v>1.0826482042405885</v>
      </c>
      <c r="G104" s="21">
        <v>2402000</v>
      </c>
      <c r="H104" s="21"/>
      <c r="I104" s="21"/>
      <c r="J104" s="21"/>
      <c r="K104" s="21"/>
      <c r="L104" s="21"/>
      <c r="M104" s="21">
        <v>100000</v>
      </c>
    </row>
    <row r="105" spans="1:13" s="5" customFormat="1" ht="25.5">
      <c r="A105" s="12"/>
      <c r="B105" s="12">
        <v>90004</v>
      </c>
      <c r="C105" s="12" t="s">
        <v>72</v>
      </c>
      <c r="D105" s="21">
        <v>2018000</v>
      </c>
      <c r="E105" s="24">
        <f t="shared" si="13"/>
        <v>1975000</v>
      </c>
      <c r="F105" s="33">
        <f t="shared" si="14"/>
        <v>0.9786917740336968</v>
      </c>
      <c r="G105" s="21">
        <v>1975000</v>
      </c>
      <c r="H105" s="21"/>
      <c r="I105" s="21"/>
      <c r="J105" s="21"/>
      <c r="K105" s="21"/>
      <c r="L105" s="21"/>
      <c r="M105" s="21"/>
    </row>
    <row r="106" spans="1:13" s="5" customFormat="1" ht="12.75">
      <c r="A106" s="12"/>
      <c r="B106" s="12">
        <v>90015</v>
      </c>
      <c r="C106" s="12" t="s">
        <v>73</v>
      </c>
      <c r="D106" s="21">
        <v>2308000</v>
      </c>
      <c r="E106" s="24">
        <f>G106+M106</f>
        <v>2530200</v>
      </c>
      <c r="F106" s="33">
        <f t="shared" si="14"/>
        <v>1.0962738301559791</v>
      </c>
      <c r="G106" s="21">
        <v>2430200</v>
      </c>
      <c r="H106" s="21"/>
      <c r="I106" s="21"/>
      <c r="J106" s="21"/>
      <c r="K106" s="21"/>
      <c r="L106" s="21"/>
      <c r="M106" s="21">
        <v>100000</v>
      </c>
    </row>
    <row r="107" spans="1:13" s="5" customFormat="1" ht="12.75">
      <c r="A107" s="12"/>
      <c r="B107" s="12">
        <v>90095</v>
      </c>
      <c r="C107" s="12" t="s">
        <v>23</v>
      </c>
      <c r="D107" s="21">
        <v>2565000</v>
      </c>
      <c r="E107" s="24">
        <f t="shared" si="13"/>
        <v>8911000</v>
      </c>
      <c r="F107" s="33">
        <f t="shared" si="14"/>
        <v>3.474074074074074</v>
      </c>
      <c r="G107" s="21">
        <v>185000</v>
      </c>
      <c r="H107" s="21"/>
      <c r="I107" s="21"/>
      <c r="J107" s="21"/>
      <c r="K107" s="21"/>
      <c r="L107" s="21"/>
      <c r="M107" s="21">
        <v>8726000</v>
      </c>
    </row>
    <row r="108" spans="1:13" s="17" customFormat="1" ht="25.5">
      <c r="A108" s="16">
        <v>921</v>
      </c>
      <c r="B108" s="16"/>
      <c r="C108" s="16" t="s">
        <v>74</v>
      </c>
      <c r="D108" s="20">
        <f>SUM(D109:D113)</f>
        <v>15680000</v>
      </c>
      <c r="E108" s="23">
        <f t="shared" si="13"/>
        <v>11238300</v>
      </c>
      <c r="F108" s="32">
        <f t="shared" si="14"/>
        <v>0.7167283163265306</v>
      </c>
      <c r="G108" s="20">
        <f aca="true" t="shared" si="20" ref="G108:M108">SUM(G109:G113)</f>
        <v>3278300</v>
      </c>
      <c r="H108" s="20">
        <f t="shared" si="20"/>
        <v>0</v>
      </c>
      <c r="I108" s="20">
        <f t="shared" si="20"/>
        <v>0</v>
      </c>
      <c r="J108" s="20">
        <f t="shared" si="20"/>
        <v>2963000</v>
      </c>
      <c r="K108" s="20">
        <f t="shared" si="20"/>
        <v>0</v>
      </c>
      <c r="L108" s="20">
        <f t="shared" si="20"/>
        <v>0</v>
      </c>
      <c r="M108" s="20">
        <f t="shared" si="20"/>
        <v>7960000</v>
      </c>
    </row>
    <row r="109" spans="1:13" s="5" customFormat="1" ht="25.5">
      <c r="A109" s="12"/>
      <c r="B109" s="12">
        <v>92109</v>
      </c>
      <c r="C109" s="12" t="s">
        <v>75</v>
      </c>
      <c r="D109" s="21">
        <v>1410000</v>
      </c>
      <c r="E109" s="24">
        <f>G109+M109</f>
        <v>1360000</v>
      </c>
      <c r="F109" s="33">
        <f t="shared" si="14"/>
        <v>0.9645390070921985</v>
      </c>
      <c r="G109" s="21">
        <v>1360000</v>
      </c>
      <c r="H109" s="21"/>
      <c r="I109" s="21"/>
      <c r="J109" s="21">
        <v>1360000</v>
      </c>
      <c r="K109" s="21"/>
      <c r="L109" s="21"/>
      <c r="M109" s="21"/>
    </row>
    <row r="110" spans="1:13" s="5" customFormat="1" ht="12.75">
      <c r="A110" s="12"/>
      <c r="B110" s="12">
        <v>92110</v>
      </c>
      <c r="C110" s="12" t="s">
        <v>76</v>
      </c>
      <c r="D110" s="21">
        <v>330000</v>
      </c>
      <c r="E110" s="24">
        <f t="shared" si="13"/>
        <v>378000</v>
      </c>
      <c r="F110" s="33">
        <f t="shared" si="14"/>
        <v>1.1454545454545455</v>
      </c>
      <c r="G110" s="21">
        <v>378000</v>
      </c>
      <c r="H110" s="21"/>
      <c r="I110" s="21"/>
      <c r="J110" s="21">
        <v>378000</v>
      </c>
      <c r="K110" s="21"/>
      <c r="L110" s="21"/>
      <c r="M110" s="21"/>
    </row>
    <row r="111" spans="1:13" s="5" customFormat="1" ht="12.75">
      <c r="A111" s="12"/>
      <c r="B111" s="12">
        <v>92116</v>
      </c>
      <c r="C111" s="12" t="s">
        <v>77</v>
      </c>
      <c r="D111" s="21">
        <v>995000</v>
      </c>
      <c r="E111" s="24">
        <f>G111+M111</f>
        <v>1010000</v>
      </c>
      <c r="F111" s="33">
        <f t="shared" si="14"/>
        <v>1.015075376884422</v>
      </c>
      <c r="G111" s="21">
        <v>1010000</v>
      </c>
      <c r="H111" s="21"/>
      <c r="I111" s="21"/>
      <c r="J111" s="21">
        <v>1010000</v>
      </c>
      <c r="K111" s="21"/>
      <c r="L111" s="21"/>
      <c r="M111" s="21"/>
    </row>
    <row r="112" spans="1:13" s="5" customFormat="1" ht="25.5">
      <c r="A112" s="12"/>
      <c r="B112" s="12">
        <v>92120</v>
      </c>
      <c r="C112" s="12" t="s">
        <v>78</v>
      </c>
      <c r="D112" s="21">
        <v>160000</v>
      </c>
      <c r="E112" s="24">
        <f t="shared" si="13"/>
        <v>1675000</v>
      </c>
      <c r="F112" s="33">
        <f t="shared" si="14"/>
        <v>10.46875</v>
      </c>
      <c r="G112" s="21">
        <f>150000+25000</f>
        <v>175000</v>
      </c>
      <c r="H112" s="21"/>
      <c r="I112" s="21"/>
      <c r="J112" s="21">
        <v>150000</v>
      </c>
      <c r="K112" s="21"/>
      <c r="L112" s="21"/>
      <c r="M112" s="21">
        <v>1500000</v>
      </c>
    </row>
    <row r="113" spans="1:13" s="5" customFormat="1" ht="12.75">
      <c r="A113" s="12"/>
      <c r="B113" s="12">
        <v>92195</v>
      </c>
      <c r="C113" s="12" t="s">
        <v>23</v>
      </c>
      <c r="D113" s="21">
        <v>12785000</v>
      </c>
      <c r="E113" s="24">
        <f t="shared" si="13"/>
        <v>6815300</v>
      </c>
      <c r="F113" s="33">
        <f t="shared" si="14"/>
        <v>0.533070003910833</v>
      </c>
      <c r="G113" s="21">
        <v>355300</v>
      </c>
      <c r="H113" s="21"/>
      <c r="I113" s="21"/>
      <c r="J113" s="21">
        <v>65000</v>
      </c>
      <c r="K113" s="21"/>
      <c r="L113" s="21"/>
      <c r="M113" s="21">
        <v>6460000</v>
      </c>
    </row>
    <row r="114" spans="1:13" s="17" customFormat="1" ht="12.75">
      <c r="A114" s="16">
        <v>926</v>
      </c>
      <c r="B114" s="16"/>
      <c r="C114" s="16" t="s">
        <v>79</v>
      </c>
      <c r="D114" s="20">
        <f>SUM(D115:D117)</f>
        <v>7340370</v>
      </c>
      <c r="E114" s="23">
        <f t="shared" si="13"/>
        <v>9571783</v>
      </c>
      <c r="F114" s="32">
        <f t="shared" si="14"/>
        <v>1.3039918968662343</v>
      </c>
      <c r="G114" s="20">
        <f aca="true" t="shared" si="21" ref="G114:M114">SUM(G115:G117)</f>
        <v>4600000</v>
      </c>
      <c r="H114" s="20">
        <f t="shared" si="21"/>
        <v>0</v>
      </c>
      <c r="I114" s="20">
        <f t="shared" si="21"/>
        <v>0</v>
      </c>
      <c r="J114" s="20">
        <f t="shared" si="21"/>
        <v>4400000</v>
      </c>
      <c r="K114" s="20">
        <f t="shared" si="21"/>
        <v>0</v>
      </c>
      <c r="L114" s="20">
        <f t="shared" si="21"/>
        <v>0</v>
      </c>
      <c r="M114" s="20">
        <f t="shared" si="21"/>
        <v>4971783</v>
      </c>
    </row>
    <row r="115" spans="1:13" s="5" customFormat="1" ht="12.75">
      <c r="A115" s="12"/>
      <c r="B115" s="12">
        <v>92604</v>
      </c>
      <c r="C115" s="12" t="s">
        <v>80</v>
      </c>
      <c r="D115" s="21">
        <v>3700000</v>
      </c>
      <c r="E115" s="24">
        <f t="shared" si="13"/>
        <v>2900000</v>
      </c>
      <c r="F115" s="33">
        <f t="shared" si="14"/>
        <v>0.7837837837837838</v>
      </c>
      <c r="G115" s="21">
        <v>2900000</v>
      </c>
      <c r="H115" s="21"/>
      <c r="I115" s="21"/>
      <c r="J115" s="21">
        <v>2900000</v>
      </c>
      <c r="K115" s="21"/>
      <c r="L115" s="21"/>
      <c r="M115" s="21"/>
    </row>
    <row r="116" spans="1:13" s="5" customFormat="1" ht="25.5">
      <c r="A116" s="12"/>
      <c r="B116" s="12">
        <v>92605</v>
      </c>
      <c r="C116" s="12" t="s">
        <v>81</v>
      </c>
      <c r="D116" s="21">
        <v>1600000</v>
      </c>
      <c r="E116" s="24">
        <f t="shared" si="13"/>
        <v>1700000</v>
      </c>
      <c r="F116" s="33">
        <f t="shared" si="14"/>
        <v>1.0625</v>
      </c>
      <c r="G116" s="21">
        <v>1700000</v>
      </c>
      <c r="H116" s="21"/>
      <c r="I116" s="21"/>
      <c r="J116" s="21">
        <v>1500000</v>
      </c>
      <c r="K116" s="21"/>
      <c r="L116" s="21"/>
      <c r="M116" s="21"/>
    </row>
    <row r="117" spans="1:13" s="5" customFormat="1" ht="12.75">
      <c r="A117" s="12"/>
      <c r="B117" s="12">
        <v>92695</v>
      </c>
      <c r="C117" s="12" t="s">
        <v>23</v>
      </c>
      <c r="D117" s="21">
        <v>2040370</v>
      </c>
      <c r="E117" s="24">
        <f t="shared" si="13"/>
        <v>4971783</v>
      </c>
      <c r="F117" s="33">
        <f t="shared" si="14"/>
        <v>2.436706577728549</v>
      </c>
      <c r="G117" s="21"/>
      <c r="H117" s="21"/>
      <c r="I117" s="21"/>
      <c r="J117" s="21"/>
      <c r="K117" s="21"/>
      <c r="L117" s="21"/>
      <c r="M117" s="21">
        <v>4971783</v>
      </c>
    </row>
    <row r="118" spans="1:13" s="8" customFormat="1" ht="24.75" customHeight="1">
      <c r="A118" s="42" t="s">
        <v>9</v>
      </c>
      <c r="B118" s="43"/>
      <c r="C118" s="44"/>
      <c r="D118" s="30" t="e">
        <f>D7+D10+D17+D19+D23+#REF!+D28+D34+D37+D47+D50+D52+D54+D77+D83+D96+D99+D103+D108+D114</f>
        <v>#REF!</v>
      </c>
      <c r="E118" s="30">
        <f aca="true" t="shared" si="22" ref="E118:M118">E7+E10+E17+E19+E23+E28+E34+E37+E47+E50+E52+E54+E77+E83+E96+E99+E103+E108+E114</f>
        <v>190247095</v>
      </c>
      <c r="F118" s="30">
        <f t="shared" si="22"/>
        <v>21.03807415712115</v>
      </c>
      <c r="G118" s="30">
        <f t="shared" si="22"/>
        <v>106046092</v>
      </c>
      <c r="H118" s="30">
        <f t="shared" si="22"/>
        <v>27185625</v>
      </c>
      <c r="I118" s="30">
        <f>I7+I10+I17+I19+I23+I28+I34+I37+I47+I50+I52+I54+I77+I83+I96+I99+I103+I108+I114</f>
        <v>5351525</v>
      </c>
      <c r="J118" s="30">
        <f t="shared" si="22"/>
        <v>13951067</v>
      </c>
      <c r="K118" s="30">
        <f t="shared" si="22"/>
        <v>1330000</v>
      </c>
      <c r="L118" s="30">
        <f t="shared" si="22"/>
        <v>0</v>
      </c>
      <c r="M118" s="30">
        <f t="shared" si="22"/>
        <v>84201003</v>
      </c>
    </row>
    <row r="120" spans="1:13" ht="12.75">
      <c r="A120" s="10"/>
      <c r="L120" s="36" t="s">
        <v>110</v>
      </c>
      <c r="M120" s="37">
        <f>M118-M121</f>
        <v>80259003</v>
      </c>
    </row>
    <row r="121" spans="12:13" ht="12.75">
      <c r="L121" s="34" t="s">
        <v>109</v>
      </c>
      <c r="M121" s="35">
        <f>M20+M31+M32+M41+M43+M44+M72</f>
        <v>3942000</v>
      </c>
    </row>
    <row r="124" ht="12.75">
      <c r="M124" s="25"/>
    </row>
    <row r="126" ht="12.75">
      <c r="M126" s="25"/>
    </row>
  </sheetData>
  <mergeCells count="12">
    <mergeCell ref="A1:M1"/>
    <mergeCell ref="E3:E5"/>
    <mergeCell ref="A3:A5"/>
    <mergeCell ref="C3:C5"/>
    <mergeCell ref="B3:B5"/>
    <mergeCell ref="G3:M3"/>
    <mergeCell ref="H4:L4"/>
    <mergeCell ref="G4:G5"/>
    <mergeCell ref="D3:D5"/>
    <mergeCell ref="F3:F5"/>
    <mergeCell ref="M4:M5"/>
    <mergeCell ref="A118:C118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0" r:id="rId1"/>
  <headerFooter alignWithMargins="0">
    <oddHeader>&amp;RZałącznik Nr 3
do uchwały Nr XVI/186/07 Rady Miasta Kołobrzeg
z dnia 19 grudnia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 </cp:lastModifiedBy>
  <cp:lastPrinted>2007-12-20T08:11:08Z</cp:lastPrinted>
  <dcterms:created xsi:type="dcterms:W3CDTF">1998-12-09T13:02:10Z</dcterms:created>
  <dcterms:modified xsi:type="dcterms:W3CDTF">2007-12-21T12:06:43Z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