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4695" tabRatio="768" activeTab="0"/>
  </bookViews>
  <sheets>
    <sheet name="budżet" sheetId="1" r:id="rId1"/>
    <sheet name="UE1" sheetId="2" r:id="rId2"/>
  </sheets>
  <definedNames/>
  <calcPr fullCalcOnLoad="1"/>
</workbook>
</file>

<file path=xl/sharedStrings.xml><?xml version="1.0" encoding="utf-8"?>
<sst xmlns="http://schemas.openxmlformats.org/spreadsheetml/2006/main" count="262" uniqueCount="139">
  <si>
    <t>Lp</t>
  </si>
  <si>
    <t>Nazwa zadania</t>
  </si>
  <si>
    <t>Wartość kosztorysowa</t>
  </si>
  <si>
    <t>Wielkość nakładów w latach [zł]</t>
  </si>
  <si>
    <t>Uwagi</t>
  </si>
  <si>
    <t>Kompleks basenowy przy hali Milenium</t>
  </si>
  <si>
    <t>Plac rekreacyjno - sportowy z kortem tenisowym i torem do jazdy na deskorolce na osiedlu Ogrody</t>
  </si>
  <si>
    <t>2004-2006</t>
  </si>
  <si>
    <t>zagospodarowanie placu rekreacyjno sportowego z budową muszli koncertowejkompleksowo - Wylotowa 80 A</t>
  </si>
  <si>
    <t>2004-2007</t>
  </si>
  <si>
    <t>2004-2005</t>
  </si>
  <si>
    <t>Studnia Nr 2A na ujęciu wody na Janiskach</t>
  </si>
  <si>
    <t>Budowa wylotu wód deszczowych z terenu Ekoparku Wschodniego do morza</t>
  </si>
  <si>
    <t>Miasto</t>
  </si>
  <si>
    <t>2004-2010</t>
  </si>
  <si>
    <t>Remont Biblioteki Publicznej</t>
  </si>
  <si>
    <t>2005-2007</t>
  </si>
  <si>
    <t>Budowa ul. Cichej wraz z oświetleniem</t>
  </si>
  <si>
    <t>Miasto+UE</t>
  </si>
  <si>
    <t>Drogi na osiedlu Radzikowo IV wraz z kanalizacją deszczową</t>
  </si>
  <si>
    <t>2003-2006</t>
  </si>
  <si>
    <t>Modernizacja ul. Św. Wojciecha</t>
  </si>
  <si>
    <t>Modernizacja ulicy Kościuszki</t>
  </si>
  <si>
    <t>2002-2006</t>
  </si>
  <si>
    <t>Budowa ulicy Kossaka</t>
  </si>
  <si>
    <t>Budowa drogi pomiędzy Unii Lubelskiej i Okopową</t>
  </si>
  <si>
    <t>Modernizacja nawierzchni dróg na osiedlu Podczele</t>
  </si>
  <si>
    <t>Drogi na osiedlu Witkowice III - budowa</t>
  </si>
  <si>
    <t>Drogi w ul. Jagiełły, Łokietka, Kazimierza Wielkiego</t>
  </si>
  <si>
    <t>2001-2006</t>
  </si>
  <si>
    <t>Modernizacja ul. Towarowej wraz z kanalizacja deszczową i oświetleniem</t>
  </si>
  <si>
    <t>Drogi na osiedlu domów jednorodzinnych przy ul. 6 dyw. piechoty PT i budowa</t>
  </si>
  <si>
    <t>Chodnik i kładka dla pieszych ul. Rzeczna</t>
  </si>
  <si>
    <t>Budowa nawierzchni jezdni ul. Tarnowskiego</t>
  </si>
  <si>
    <t>RAZEM</t>
  </si>
  <si>
    <t>Remont nabrzeży rz. Parsęty</t>
  </si>
  <si>
    <t>Monitoring tv miasta</t>
  </si>
  <si>
    <t>Dział</t>
  </si>
  <si>
    <t>Rozdz.</t>
  </si>
  <si>
    <t>OGÓŁEM</t>
  </si>
  <si>
    <t>Wykonanie tarasu widokowego na morze i zejścia na plażę zachodnią</t>
  </si>
  <si>
    <t>Kanalizacja deszczowa Radzikowo III</t>
  </si>
  <si>
    <t>Zagospodarowanie ogródka jordanowskiego przy ul. Unii Lubelskiej</t>
  </si>
  <si>
    <t>Zagospodarowanie terenu przy ul. Wąskiej</t>
  </si>
  <si>
    <t>Zagospodarowanie terenu wewnątrzosiedlowego przy ul. Wojska Polskiego</t>
  </si>
  <si>
    <t>Rewitalizacja parku nadmorskiego oraz parków miejskich</t>
  </si>
  <si>
    <t>Modernizacja ul. Szyprów</t>
  </si>
  <si>
    <t>Rewitalizacja plaż - refulacja, budowa ostróg.</t>
  </si>
  <si>
    <t>Miasto+UE+UM</t>
  </si>
  <si>
    <t>Modernizacja dróg dojazdowych do "Lokalnego centrum pierwszej sprzedaży ryb"</t>
  </si>
  <si>
    <t>Modernizacja ul. Kołłątaja</t>
  </si>
  <si>
    <t>Modernizacja ul. Krakusa i Wandy</t>
  </si>
  <si>
    <t>Modernizacja obiektu przy ul. Okopowej w celu utworzenia Centrum Aktywizacji Społeczno-Gospodarczej</t>
  </si>
  <si>
    <t>Budowa regionalnego centrum kulturalno-rozrywkowego z salą koncertowo-teatralną</t>
  </si>
  <si>
    <t>Miasto+UE+ZPM</t>
  </si>
  <si>
    <t>Modernizacja ulic: Radomska, Lotnicza i Warcisława III</t>
  </si>
  <si>
    <t>Budowa ul. Gnieźnieńskiej</t>
  </si>
  <si>
    <t>Okres
realizacji</t>
  </si>
  <si>
    <t>OŚWIATA I WYCHOWANIE</t>
  </si>
  <si>
    <t>KULTURA FIZYCZNA I SPORT</t>
  </si>
  <si>
    <t>GOSPODARKA KOMUNALNA I OCHRONA ŚRODOWISKA</t>
  </si>
  <si>
    <t>TRANSPORT I ŁĄCZNOŚĆ</t>
  </si>
  <si>
    <t>KULTURA I OCHRONA DZIEDZICTWA NARODOWEGO</t>
  </si>
  <si>
    <t xml:space="preserve">Budowa ścieżki rowerowej do Grzybowa z odwodnieniem </t>
  </si>
  <si>
    <t>Budowa chodnika łączącego ul. Chodkiewicza i Żółkiewskiego wraz z oświetleniem</t>
  </si>
  <si>
    <t>Modernizacja nawierzchni ulic na osiedlu Radzikowo III: Perłowa, Tęczowa i Koralowa wraz z ich odwodnieniem</t>
  </si>
  <si>
    <t>Przebudowa ul.Kresowej</t>
  </si>
  <si>
    <t>Przebudowa ul. Albatrosa, Stoczniowców, Łososiowa (pas jezdny, chodniki, parkingi, oświetlenie)</t>
  </si>
  <si>
    <t>Przebudowa ul. Gryfitów</t>
  </si>
  <si>
    <t>Przebudowa ul. Janiska</t>
  </si>
  <si>
    <t>Rozbudowa Szkoły Podstawowej nr 6 - wykonanie dokumentacji i budowa</t>
  </si>
  <si>
    <t>Budowa zaplecza ratowniczo-medycznego na plaży zachodniej w Kołobrzegu</t>
  </si>
  <si>
    <t>Budowa zaplecza ratowniczo-medycznego na plaży centralnej w Kołobrzegu</t>
  </si>
  <si>
    <t>2004-2008</t>
  </si>
  <si>
    <t>1996-2007</t>
  </si>
  <si>
    <t>2001-2005</t>
  </si>
  <si>
    <t>2005-2006</t>
  </si>
  <si>
    <t>Budowa zaplecza ratowniczo-medycznego na plaży na osiedlu Podczele w Kołobrzegu</t>
  </si>
  <si>
    <t>2003-2008</t>
  </si>
  <si>
    <t>Przebudowa ul. Wiosennej</t>
  </si>
  <si>
    <t>2007-2009</t>
  </si>
  <si>
    <t>Termomodernizacja obiektów szkolnych</t>
  </si>
  <si>
    <t>Miasto+UE+inne</t>
  </si>
  <si>
    <t>1999-2008</t>
  </si>
  <si>
    <t>2006-2009</t>
  </si>
  <si>
    <t>Miasto+UE+PPP</t>
  </si>
  <si>
    <t>Budowa otwartego kąpieliska z wodą morską w dzielnicy Wschodniej</t>
  </si>
  <si>
    <t>2006-2008</t>
  </si>
  <si>
    <t>1999-2006</t>
  </si>
  <si>
    <t>TRANSPORT I ŁĄCZNOŚĆ - dz. 600</t>
  </si>
  <si>
    <t>BEZPIECZEŃSTWO PUBLICZNE - dz. 754</t>
  </si>
  <si>
    <t>OŚWIATA I WYCHOWANIE - dz. 801</t>
  </si>
  <si>
    <t>GOSPODARKA KOMUNALNA I OCHRONA ŚRODOWISKA - dz. 900</t>
  </si>
  <si>
    <t>KULTURA I OCHRONA DZIEDZICTWA NARODOWEGO - dz. 921</t>
  </si>
  <si>
    <t>KULTURA FIZYCZNA I SPORT - dz. 926</t>
  </si>
  <si>
    <t>Nazwa programu, projektu</t>
  </si>
  <si>
    <t>Okres realizacji</t>
  </si>
  <si>
    <t>Rok rozpoczęcia</t>
  </si>
  <si>
    <t>Rok zakończenia</t>
  </si>
  <si>
    <t>2003-2005</t>
  </si>
  <si>
    <t>Finansowanie</t>
  </si>
  <si>
    <t>Środki własne</t>
  </si>
  <si>
    <t>Środki pomocowe</t>
  </si>
  <si>
    <t>2005 r.</t>
  </si>
  <si>
    <t>2006 r.</t>
  </si>
  <si>
    <t>2007 r.</t>
  </si>
  <si>
    <t>2008 r.</t>
  </si>
  <si>
    <t>Wydatki Budżetu Miasta Kołobrzeg</t>
  </si>
  <si>
    <t>POMOC SPOŁECZNA - dz. 852</t>
  </si>
  <si>
    <t>Wydatki do 2004 [zł]</t>
  </si>
  <si>
    <t>LIMITY WYDATKÓW BUDŻETOWYCH NA WIELOLETNIE PROGRAMY INWESTYCYJNE
GMINY MIEJSKIEJ KOŁOBRZEG W 2005 ROKU</t>
  </si>
  <si>
    <t>Rady Miejskiej w Kołobrzegu z dnia 15 grudnia 2004 r.</t>
  </si>
  <si>
    <t>2000-2007</t>
  </si>
  <si>
    <t xml:space="preserve">  </t>
  </si>
  <si>
    <t>OCHRONA ZDROWIA - dz. 851</t>
  </si>
  <si>
    <t>Budowa Centrum Rekreacyjnego w Kołobrzegu</t>
  </si>
  <si>
    <t>OCHRONA ZDROWIA</t>
  </si>
  <si>
    <t>Budowa boisk sportowych przy Szkole Podstawowej Nr 6 w Kołobrzegu (projekt nr Z/2.32/III/3.5.1/120/04)</t>
  </si>
  <si>
    <t>Budowa boisk sportowych przy Szkole Podstawowej Nr 6 w Kołobrzegu (projekt nr Z/2.32/III/3.5.1/120/04</t>
  </si>
  <si>
    <t>Budowa Centrum Rekreacyjnego w Kołobrzegu, w tym:</t>
  </si>
  <si>
    <t>1. Hala i tory łucznicze z zapleczem - w tym:</t>
  </si>
  <si>
    <t xml:space="preserve">    - Tory łucznicze - modernizacja</t>
  </si>
  <si>
    <t>2. Wyposażenie basenów w dodatkowe atrakcje związane z rekreacją</t>
  </si>
  <si>
    <t>Przebudowa i remont wysokiego parteru i I piętra budynku przy ul. Zwycięzców 12 na dom dla bezdomnych (rekomendacja nr DFM-434-149/2005)</t>
  </si>
  <si>
    <t>Przebudowa i remont przyziemia budynku przy ul. Zwycięzców 12 na noclegownię (rekomendacja nr DFM-434-145/2005)</t>
  </si>
  <si>
    <t xml:space="preserve"> </t>
  </si>
  <si>
    <t>na programy i projekty realizowane ze środków pochodzących z funduszy strukturalnych i Funduszu Spójności                                                         Unii Europejskiej w 2005 r</t>
  </si>
  <si>
    <t>Zagospodarowanie terenów sportowych przy ul Śliwińskiego - boiska sportowe - Euroboiska - Etap II</t>
  </si>
  <si>
    <t>Załącznik Nr 13 do Uchwały Nr XXX/386/04</t>
  </si>
  <si>
    <t>Załącznik Nr 12 do Uchwały Nr XXX/386/04</t>
  </si>
  <si>
    <t>Zagospodarowanie portu jachtowego w Kołobrzegu (projekt nr INT/MV-BB-PL/B/025/05, w tym:</t>
  </si>
  <si>
    <t>1. Kładka dla pieszych nad rzeką Parsęta zlokalizowana pomiędzy ul. Reja a Portem Jachtowym - budowa</t>
  </si>
  <si>
    <t>2. Budowa ulicy Warzelniczej</t>
  </si>
  <si>
    <t>3. Ciąg pieszy</t>
  </si>
  <si>
    <t>Zagospodarowanie portu jachtowego w Kołobrzegu (projekt nr INT/MV-BB-PL/B/025/05)</t>
  </si>
  <si>
    <t>Przebudowa ul. Łopuskiego w Kołobrzegu na odcinku od mostu nad Parsętą do skrzyżowania z ul. Armii Krajowej</t>
  </si>
  <si>
    <t>Załącznik Nr 6 do Uchwały Nr XXXVIII/478/05                                                                                                                                                                                                                        Rady Miejskiej w Kołobrzegu z dnia 27 czerwca 2005 r. zmieniającej</t>
  </si>
  <si>
    <t>Załącznik Nr 7 do Uchwały Nr XXXVIII/478/05</t>
  </si>
  <si>
    <t>Rady Miejskiej w Kołobrzegu z dnia 27 czerwca 2005 r. zmieniającej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</si>
</sst>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5">
    <font>
      <sz val="10"/>
      <name val="Arial CE"/>
      <family val="0"/>
    </font>
    <font>
      <b/>
      <sz val="10"/>
      <name val="Verdana"/>
      <family val="2"/>
    </font>
    <font>
      <sz val="8.5"/>
      <name val="Verdana"/>
      <family val="2"/>
    </font>
    <font>
      <sz val="6"/>
      <name val="Verdana"/>
      <family val="2"/>
    </font>
    <font>
      <sz val="8.5"/>
      <name val="Times New Roman"/>
      <family val="1"/>
    </font>
    <font>
      <b/>
      <sz val="8.5"/>
      <name val="Verdana"/>
      <family val="2"/>
    </font>
    <font>
      <sz val="9"/>
      <name val="Times New Roman"/>
      <family val="0"/>
    </font>
    <font>
      <sz val="9"/>
      <name val="Times New Roman CE"/>
      <family val="1"/>
    </font>
    <font>
      <sz val="6"/>
      <name val="Times New Roman"/>
      <family val="1"/>
    </font>
    <font>
      <b/>
      <sz val="6"/>
      <name val="Verdana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Times New Roman CE"/>
      <family val="1"/>
    </font>
    <font>
      <sz val="8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" fillId="0" borderId="2" xfId="2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center" vertical="center"/>
    </xf>
    <xf numFmtId="3" fontId="2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  <protection locked="0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3" fontId="14" fillId="0" borderId="2" xfId="0" applyNumberFormat="1" applyFont="1" applyFill="1" applyBorder="1" applyAlignment="1">
      <alignment wrapText="1"/>
    </xf>
    <xf numFmtId="3" fontId="13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0" fillId="0" borderId="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98" zoomScaleNormal="98" workbookViewId="0" topLeftCell="B1">
      <pane ySplit="7" topLeftCell="BM8" activePane="bottomLeft" state="frozen"/>
      <selection pane="topLeft" activeCell="A1" sqref="A1"/>
      <selection pane="bottomLeft" activeCell="J87" sqref="A1:K87"/>
    </sheetView>
  </sheetViews>
  <sheetFormatPr defaultColWidth="9.00390625" defaultRowHeight="12.75"/>
  <cols>
    <col min="1" max="1" width="4.125" style="9" customWidth="1"/>
    <col min="2" max="2" width="4.875" style="9" bestFit="1" customWidth="1"/>
    <col min="3" max="3" width="6.875" style="9" bestFit="1" customWidth="1"/>
    <col min="4" max="4" width="57.25390625" style="9" customWidth="1"/>
    <col min="5" max="5" width="12.375" style="26" hidden="1" customWidth="1"/>
    <col min="6" max="6" width="0.2421875" style="27" hidden="1" customWidth="1"/>
    <col min="7" max="7" width="0.12890625" style="27" hidden="1" customWidth="1"/>
    <col min="8" max="8" width="11.75390625" style="8" customWidth="1"/>
    <col min="9" max="9" width="11.25390625" style="8" customWidth="1"/>
    <col min="10" max="10" width="12.125" style="8" customWidth="1"/>
    <col min="11" max="11" width="11.00390625" style="16" hidden="1" customWidth="1"/>
    <col min="12" max="12" width="9.25390625" style="9" bestFit="1" customWidth="1"/>
    <col min="13" max="13" width="10.125" style="9" bestFit="1" customWidth="1"/>
    <col min="14" max="16384" width="9.125" style="9" customWidth="1"/>
  </cols>
  <sheetData>
    <row r="1" spans="1:10" ht="26.25" customHeight="1">
      <c r="A1" s="108" t="s">
        <v>136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 customHeight="1">
      <c r="A2" s="109" t="s">
        <v>129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 customHeight="1">
      <c r="A3" s="109" t="s">
        <v>111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1" ht="27.75" customHeight="1">
      <c r="A4" s="125" t="s">
        <v>110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s="7" customFormat="1" ht="24.75" customHeight="1">
      <c r="A5" s="113" t="s">
        <v>0</v>
      </c>
      <c r="B5" s="129" t="s">
        <v>37</v>
      </c>
      <c r="C5" s="129" t="s">
        <v>38</v>
      </c>
      <c r="D5" s="113" t="s">
        <v>1</v>
      </c>
      <c r="E5" s="127" t="s">
        <v>2</v>
      </c>
      <c r="F5" s="123" t="s">
        <v>57</v>
      </c>
      <c r="G5" s="127" t="s">
        <v>109</v>
      </c>
      <c r="H5" s="115" t="s">
        <v>3</v>
      </c>
      <c r="I5" s="116"/>
      <c r="J5" s="117"/>
      <c r="K5" s="37" t="s">
        <v>4</v>
      </c>
    </row>
    <row r="6" spans="1:11" s="7" customFormat="1" ht="10.5">
      <c r="A6" s="114"/>
      <c r="B6" s="129"/>
      <c r="C6" s="129"/>
      <c r="D6" s="114"/>
      <c r="E6" s="128"/>
      <c r="F6" s="124"/>
      <c r="G6" s="128"/>
      <c r="H6" s="63">
        <v>2005</v>
      </c>
      <c r="I6" s="63">
        <v>2006</v>
      </c>
      <c r="J6" s="63">
        <v>2007</v>
      </c>
      <c r="K6" s="5"/>
    </row>
    <row r="7" spans="1:11" s="16" customFormat="1" ht="8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7</v>
      </c>
      <c r="I7" s="5">
        <v>8</v>
      </c>
      <c r="J7" s="5">
        <v>9</v>
      </c>
      <c r="K7" s="5">
        <v>10</v>
      </c>
    </row>
    <row r="8" spans="1:12" ht="10.5" customHeight="1">
      <c r="A8" s="120" t="s">
        <v>89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6"/>
    </row>
    <row r="9" spans="1:12" s="7" customFormat="1" ht="12.75" customHeight="1">
      <c r="A9" s="14">
        <v>1</v>
      </c>
      <c r="B9" s="61">
        <v>600</v>
      </c>
      <c r="C9" s="61">
        <v>60016</v>
      </c>
      <c r="D9" s="1" t="s">
        <v>17</v>
      </c>
      <c r="E9" s="2">
        <v>480180</v>
      </c>
      <c r="F9" s="3" t="s">
        <v>99</v>
      </c>
      <c r="G9" s="4">
        <v>85745</v>
      </c>
      <c r="H9" s="4">
        <f>340831-125000</f>
        <v>215831</v>
      </c>
      <c r="I9" s="4"/>
      <c r="J9" s="4"/>
      <c r="K9" s="62" t="s">
        <v>13</v>
      </c>
      <c r="L9" s="6">
        <f>SUM(G9:J9)</f>
        <v>301576</v>
      </c>
    </row>
    <row r="10" spans="1:12" s="7" customFormat="1" ht="21.75" customHeight="1">
      <c r="A10" s="14">
        <v>2</v>
      </c>
      <c r="B10" s="21">
        <v>600</v>
      </c>
      <c r="C10" s="21">
        <v>60016</v>
      </c>
      <c r="D10" s="1" t="s">
        <v>65</v>
      </c>
      <c r="E10" s="2">
        <f>965000+415000+200000</f>
        <v>1580000</v>
      </c>
      <c r="F10" s="3" t="s">
        <v>83</v>
      </c>
      <c r="G10" s="4">
        <f>190000+342692</f>
        <v>532692</v>
      </c>
      <c r="H10" s="4"/>
      <c r="I10" s="4"/>
      <c r="J10" s="4">
        <v>500000</v>
      </c>
      <c r="K10" s="5" t="s">
        <v>18</v>
      </c>
      <c r="L10" s="6">
        <f aca="true" t="shared" si="0" ref="L10:L84">SUM(G10:J10)</f>
        <v>1032692</v>
      </c>
    </row>
    <row r="11" spans="1:12" s="7" customFormat="1" ht="12" customHeight="1">
      <c r="A11" s="14">
        <v>3</v>
      </c>
      <c r="B11" s="21">
        <v>600</v>
      </c>
      <c r="C11" s="21">
        <v>60016</v>
      </c>
      <c r="D11" s="1" t="s">
        <v>19</v>
      </c>
      <c r="E11" s="2">
        <v>4655877</v>
      </c>
      <c r="F11" s="3" t="s">
        <v>74</v>
      </c>
      <c r="G11" s="4">
        <f>60000+1213823</f>
        <v>1273823</v>
      </c>
      <c r="H11" s="4">
        <v>600000</v>
      </c>
      <c r="I11" s="4">
        <v>500000</v>
      </c>
      <c r="J11" s="4">
        <f>642500-60000-100000+500000</f>
        <v>982500</v>
      </c>
      <c r="K11" s="5" t="s">
        <v>18</v>
      </c>
      <c r="L11" s="6">
        <f t="shared" si="0"/>
        <v>3356323</v>
      </c>
    </row>
    <row r="12" spans="1:12" s="7" customFormat="1" ht="10.5" customHeight="1">
      <c r="A12" s="14">
        <v>4</v>
      </c>
      <c r="B12" s="21">
        <v>600</v>
      </c>
      <c r="C12" s="21">
        <v>60016</v>
      </c>
      <c r="D12" s="10" t="s">
        <v>66</v>
      </c>
      <c r="E12" s="2">
        <v>3615000</v>
      </c>
      <c r="F12" s="3" t="s">
        <v>20</v>
      </c>
      <c r="G12" s="4">
        <f>300000+143504</f>
        <v>443504</v>
      </c>
      <c r="H12" s="4">
        <v>2820600</v>
      </c>
      <c r="I12" s="4">
        <v>350400</v>
      </c>
      <c r="J12" s="4"/>
      <c r="K12" s="5" t="s">
        <v>18</v>
      </c>
      <c r="L12" s="6">
        <f t="shared" si="0"/>
        <v>3614504</v>
      </c>
    </row>
    <row r="13" spans="1:12" s="7" customFormat="1" ht="22.5" customHeight="1">
      <c r="A13" s="14">
        <v>5</v>
      </c>
      <c r="B13" s="21">
        <v>600</v>
      </c>
      <c r="C13" s="21">
        <v>60016</v>
      </c>
      <c r="D13" s="10" t="s">
        <v>67</v>
      </c>
      <c r="E13" s="2">
        <v>1540800</v>
      </c>
      <c r="F13" s="3" t="s">
        <v>78</v>
      </c>
      <c r="G13" s="4">
        <f>60000+20000</f>
        <v>80000</v>
      </c>
      <c r="H13" s="4"/>
      <c r="I13" s="4"/>
      <c r="J13" s="4">
        <v>100000</v>
      </c>
      <c r="K13" s="5" t="s">
        <v>18</v>
      </c>
      <c r="L13" s="6">
        <f t="shared" si="0"/>
        <v>180000</v>
      </c>
    </row>
    <row r="14" spans="1:12" s="7" customFormat="1" ht="10.5" customHeight="1">
      <c r="A14" s="14">
        <v>6</v>
      </c>
      <c r="B14" s="21">
        <v>600</v>
      </c>
      <c r="C14" s="21">
        <v>60016</v>
      </c>
      <c r="D14" s="1" t="s">
        <v>21</v>
      </c>
      <c r="E14" s="2">
        <v>3420000</v>
      </c>
      <c r="F14" s="3" t="s">
        <v>112</v>
      </c>
      <c r="G14" s="4">
        <f>6000+16675</f>
        <v>22675</v>
      </c>
      <c r="H14" s="4"/>
      <c r="I14" s="4">
        <v>400000</v>
      </c>
      <c r="J14" s="4">
        <v>500000</v>
      </c>
      <c r="K14" s="5" t="s">
        <v>18</v>
      </c>
      <c r="L14" s="6">
        <f t="shared" si="0"/>
        <v>922675</v>
      </c>
    </row>
    <row r="15" spans="1:12" s="7" customFormat="1" ht="10.5" customHeight="1">
      <c r="A15" s="14">
        <v>7</v>
      </c>
      <c r="B15" s="21">
        <v>600</v>
      </c>
      <c r="C15" s="21">
        <v>60016</v>
      </c>
      <c r="D15" s="1" t="s">
        <v>22</v>
      </c>
      <c r="E15" s="2">
        <v>3144685</v>
      </c>
      <c r="F15" s="3" t="s">
        <v>23</v>
      </c>
      <c r="G15" s="4">
        <f>150000+20405</f>
        <v>170405</v>
      </c>
      <c r="H15" s="4">
        <v>1500000</v>
      </c>
      <c r="I15" s="4">
        <f>3144685-20405-150000-1500000</f>
        <v>1474280</v>
      </c>
      <c r="J15" s="4"/>
      <c r="K15" s="5" t="s">
        <v>18</v>
      </c>
      <c r="L15" s="6">
        <f t="shared" si="0"/>
        <v>3144685</v>
      </c>
    </row>
    <row r="16" spans="1:12" s="7" customFormat="1" ht="10.5" customHeight="1">
      <c r="A16" s="14">
        <v>8</v>
      </c>
      <c r="B16" s="21">
        <v>600</v>
      </c>
      <c r="C16" s="21">
        <v>60016</v>
      </c>
      <c r="D16" s="1" t="s">
        <v>24</v>
      </c>
      <c r="E16" s="2">
        <v>708880</v>
      </c>
      <c r="F16" s="3" t="s">
        <v>7</v>
      </c>
      <c r="G16" s="4">
        <v>15200</v>
      </c>
      <c r="H16" s="4">
        <v>190000</v>
      </c>
      <c r="I16" s="4">
        <v>503680</v>
      </c>
      <c r="J16" s="4"/>
      <c r="K16" s="5" t="s">
        <v>18</v>
      </c>
      <c r="L16" s="6">
        <f t="shared" si="0"/>
        <v>708880</v>
      </c>
    </row>
    <row r="17" spans="1:12" s="7" customFormat="1" ht="11.25" customHeight="1">
      <c r="A17" s="14">
        <v>9</v>
      </c>
      <c r="B17" s="21">
        <v>600</v>
      </c>
      <c r="C17" s="21">
        <v>60016</v>
      </c>
      <c r="D17" s="1" t="s">
        <v>25</v>
      </c>
      <c r="E17" s="2">
        <v>500000</v>
      </c>
      <c r="F17" s="3" t="s">
        <v>7</v>
      </c>
      <c r="G17" s="4">
        <v>11000</v>
      </c>
      <c r="H17" s="4">
        <v>100000</v>
      </c>
      <c r="I17" s="4">
        <v>389000</v>
      </c>
      <c r="J17" s="4"/>
      <c r="K17" s="5" t="s">
        <v>18</v>
      </c>
      <c r="L17" s="6">
        <f t="shared" si="0"/>
        <v>500000</v>
      </c>
    </row>
    <row r="18" spans="1:12" s="7" customFormat="1" ht="10.5" customHeight="1">
      <c r="A18" s="14">
        <v>10</v>
      </c>
      <c r="B18" s="21">
        <v>600</v>
      </c>
      <c r="C18" s="21">
        <v>60016</v>
      </c>
      <c r="D18" s="1" t="s">
        <v>26</v>
      </c>
      <c r="E18" s="2">
        <v>3180000</v>
      </c>
      <c r="F18" s="3" t="s">
        <v>73</v>
      </c>
      <c r="G18" s="4">
        <v>40000</v>
      </c>
      <c r="H18" s="4">
        <v>8000</v>
      </c>
      <c r="I18" s="4">
        <v>250000</v>
      </c>
      <c r="J18" s="4">
        <v>1000000</v>
      </c>
      <c r="K18" s="5" t="s">
        <v>18</v>
      </c>
      <c r="L18" s="6">
        <f t="shared" si="0"/>
        <v>1298000</v>
      </c>
    </row>
    <row r="19" spans="1:12" s="7" customFormat="1" ht="10.5" customHeight="1">
      <c r="A19" s="14">
        <v>11</v>
      </c>
      <c r="B19" s="21">
        <v>600</v>
      </c>
      <c r="C19" s="21">
        <v>60016</v>
      </c>
      <c r="D19" s="1" t="s">
        <v>69</v>
      </c>
      <c r="E19" s="2">
        <v>900000</v>
      </c>
      <c r="F19" s="3" t="s">
        <v>9</v>
      </c>
      <c r="G19" s="4">
        <v>25000</v>
      </c>
      <c r="H19" s="4">
        <v>50000</v>
      </c>
      <c r="I19" s="4">
        <v>475000</v>
      </c>
      <c r="J19" s="4">
        <v>350000</v>
      </c>
      <c r="K19" s="5" t="s">
        <v>18</v>
      </c>
      <c r="L19" s="6">
        <f t="shared" si="0"/>
        <v>900000</v>
      </c>
    </row>
    <row r="20" spans="1:12" s="7" customFormat="1" ht="10.5" customHeight="1">
      <c r="A20" s="14">
        <v>12</v>
      </c>
      <c r="B20" s="21">
        <v>600</v>
      </c>
      <c r="C20" s="21">
        <v>60016</v>
      </c>
      <c r="D20" s="10" t="s">
        <v>68</v>
      </c>
      <c r="E20" s="2">
        <v>397000</v>
      </c>
      <c r="F20" s="3" t="s">
        <v>9</v>
      </c>
      <c r="G20" s="4">
        <v>5000</v>
      </c>
      <c r="H20" s="4">
        <v>400000</v>
      </c>
      <c r="I20" s="4"/>
      <c r="J20" s="4"/>
      <c r="K20" s="5" t="s">
        <v>18</v>
      </c>
      <c r="L20" s="6">
        <f t="shared" si="0"/>
        <v>405000</v>
      </c>
    </row>
    <row r="21" spans="1:12" s="7" customFormat="1" ht="24" customHeight="1">
      <c r="A21" s="97">
        <v>13</v>
      </c>
      <c r="B21" s="72">
        <v>600</v>
      </c>
      <c r="C21" s="72">
        <v>60016</v>
      </c>
      <c r="D21" s="1" t="s">
        <v>130</v>
      </c>
      <c r="E21" s="2"/>
      <c r="F21" s="3"/>
      <c r="G21" s="4"/>
      <c r="H21" s="4">
        <f>SUM(H22:H24)</f>
        <v>1974829.06</v>
      </c>
      <c r="I21" s="4"/>
      <c r="J21" s="4"/>
      <c r="K21" s="5"/>
      <c r="L21" s="6"/>
    </row>
    <row r="22" spans="1:12" s="7" customFormat="1" ht="21.75" customHeight="1">
      <c r="A22" s="87"/>
      <c r="B22" s="72"/>
      <c r="C22" s="98"/>
      <c r="D22" s="20" t="s">
        <v>131</v>
      </c>
      <c r="E22" s="2">
        <f>951573.83*1.22+86140</f>
        <v>1247060.0725999998</v>
      </c>
      <c r="F22" s="3" t="s">
        <v>99</v>
      </c>
      <c r="G22" s="4">
        <f>53240+32900</f>
        <v>86140</v>
      </c>
      <c r="H22" s="4">
        <f>951573*1.22+42500</f>
        <v>1203419.06</v>
      </c>
      <c r="I22" s="4"/>
      <c r="J22" s="4"/>
      <c r="K22" s="5" t="s">
        <v>18</v>
      </c>
      <c r="L22" s="6">
        <f t="shared" si="0"/>
        <v>1289559.06</v>
      </c>
    </row>
    <row r="23" spans="1:12" s="7" customFormat="1" ht="10.5" customHeight="1">
      <c r="A23" s="84"/>
      <c r="B23" s="86"/>
      <c r="C23" s="99"/>
      <c r="D23" s="1" t="s">
        <v>132</v>
      </c>
      <c r="E23" s="2">
        <v>665112</v>
      </c>
      <c r="F23" s="3" t="s">
        <v>10</v>
      </c>
      <c r="G23" s="4">
        <v>0</v>
      </c>
      <c r="H23" s="4">
        <f>332556*2+5000</f>
        <v>670112</v>
      </c>
      <c r="I23" s="4"/>
      <c r="J23" s="4"/>
      <c r="K23" s="5" t="s">
        <v>18</v>
      </c>
      <c r="L23" s="6">
        <f t="shared" si="0"/>
        <v>670112</v>
      </c>
    </row>
    <row r="24" spans="1:12" s="7" customFormat="1" ht="10.5" customHeight="1">
      <c r="A24" s="85"/>
      <c r="B24" s="61"/>
      <c r="C24" s="100"/>
      <c r="D24" s="1" t="s">
        <v>133</v>
      </c>
      <c r="E24" s="2"/>
      <c r="F24" s="3"/>
      <c r="G24" s="4"/>
      <c r="H24" s="4">
        <v>101298</v>
      </c>
      <c r="I24" s="4"/>
      <c r="J24" s="4"/>
      <c r="K24" s="5"/>
      <c r="L24" s="6"/>
    </row>
    <row r="25" spans="1:12" s="7" customFormat="1" ht="11.25" customHeight="1">
      <c r="A25" s="14">
        <v>14</v>
      </c>
      <c r="B25" s="61">
        <v>600</v>
      </c>
      <c r="C25" s="61">
        <v>60016</v>
      </c>
      <c r="D25" s="1" t="s">
        <v>27</v>
      </c>
      <c r="E25" s="2">
        <v>2230934</v>
      </c>
      <c r="F25" s="3" t="s">
        <v>88</v>
      </c>
      <c r="G25" s="4">
        <f>15000+701686</f>
        <v>716686</v>
      </c>
      <c r="H25" s="4">
        <v>285000</v>
      </c>
      <c r="I25" s="4">
        <v>300000</v>
      </c>
      <c r="J25" s="4"/>
      <c r="K25" s="5" t="s">
        <v>18</v>
      </c>
      <c r="L25" s="6">
        <f t="shared" si="0"/>
        <v>1301686</v>
      </c>
    </row>
    <row r="26" spans="1:12" s="7" customFormat="1" ht="12" customHeight="1">
      <c r="A26" s="14">
        <v>15</v>
      </c>
      <c r="B26" s="21">
        <v>600</v>
      </c>
      <c r="C26" s="21">
        <v>60016</v>
      </c>
      <c r="D26" s="1" t="s">
        <v>28</v>
      </c>
      <c r="E26" s="2">
        <v>1034220</v>
      </c>
      <c r="F26" s="3" t="s">
        <v>29</v>
      </c>
      <c r="G26" s="4">
        <v>146000</v>
      </c>
      <c r="H26" s="4">
        <f>230000+204000</f>
        <v>434000</v>
      </c>
      <c r="I26" s="4">
        <v>454220</v>
      </c>
      <c r="J26" s="4"/>
      <c r="K26" s="5" t="s">
        <v>18</v>
      </c>
      <c r="L26" s="6">
        <f t="shared" si="0"/>
        <v>1034220</v>
      </c>
    </row>
    <row r="27" spans="1:12" s="7" customFormat="1" ht="21.75" customHeight="1">
      <c r="A27" s="14">
        <v>16</v>
      </c>
      <c r="B27" s="21">
        <v>600</v>
      </c>
      <c r="C27" s="21">
        <v>60016</v>
      </c>
      <c r="D27" s="1" t="s">
        <v>30</v>
      </c>
      <c r="E27" s="2">
        <v>480000</v>
      </c>
      <c r="F27" s="3" t="s">
        <v>9</v>
      </c>
      <c r="G27" s="4">
        <f>5500+8604</f>
        <v>14104</v>
      </c>
      <c r="H27" s="4"/>
      <c r="I27" s="4">
        <v>200000</v>
      </c>
      <c r="J27" s="4">
        <v>265896</v>
      </c>
      <c r="K27" s="5" t="s">
        <v>18</v>
      </c>
      <c r="L27" s="6">
        <f t="shared" si="0"/>
        <v>480000</v>
      </c>
    </row>
    <row r="28" spans="1:12" s="7" customFormat="1" ht="22.5" customHeight="1">
      <c r="A28" s="14">
        <v>17</v>
      </c>
      <c r="B28" s="21">
        <v>600</v>
      </c>
      <c r="C28" s="21">
        <v>60016</v>
      </c>
      <c r="D28" s="1" t="s">
        <v>31</v>
      </c>
      <c r="E28" s="2">
        <v>4000000</v>
      </c>
      <c r="F28" s="3" t="s">
        <v>73</v>
      </c>
      <c r="G28" s="4">
        <v>37300</v>
      </c>
      <c r="H28" s="4">
        <f>500000-G28</f>
        <v>462700</v>
      </c>
      <c r="I28" s="4">
        <v>1000000</v>
      </c>
      <c r="J28" s="4">
        <v>1000000</v>
      </c>
      <c r="K28" s="5" t="s">
        <v>18</v>
      </c>
      <c r="L28" s="6">
        <f t="shared" si="0"/>
        <v>2500000</v>
      </c>
    </row>
    <row r="29" spans="1:12" s="7" customFormat="1" ht="11.25" customHeight="1">
      <c r="A29" s="14">
        <v>18</v>
      </c>
      <c r="B29" s="21">
        <v>600</v>
      </c>
      <c r="C29" s="21">
        <v>60016</v>
      </c>
      <c r="D29" s="1" t="s">
        <v>63</v>
      </c>
      <c r="E29" s="2">
        <v>1200000</v>
      </c>
      <c r="F29" s="3" t="s">
        <v>9</v>
      </c>
      <c r="G29" s="4">
        <v>5000</v>
      </c>
      <c r="H29" s="4">
        <v>45000</v>
      </c>
      <c r="I29" s="4">
        <v>450000</v>
      </c>
      <c r="J29" s="4">
        <f>E29-G29-H29-I29</f>
        <v>700000</v>
      </c>
      <c r="K29" s="5" t="s">
        <v>18</v>
      </c>
      <c r="L29" s="6">
        <f t="shared" si="0"/>
        <v>1200000</v>
      </c>
    </row>
    <row r="30" spans="1:12" s="7" customFormat="1" ht="21.75" customHeight="1">
      <c r="A30" s="14">
        <v>19</v>
      </c>
      <c r="B30" s="21">
        <v>600</v>
      </c>
      <c r="C30" s="21">
        <v>60016</v>
      </c>
      <c r="D30" s="1" t="s">
        <v>64</v>
      </c>
      <c r="E30" s="2">
        <v>65000</v>
      </c>
      <c r="F30" s="3" t="s">
        <v>10</v>
      </c>
      <c r="G30" s="4">
        <v>6000</v>
      </c>
      <c r="H30" s="4">
        <f>59000+15276+30724</f>
        <v>105000</v>
      </c>
      <c r="I30" s="4"/>
      <c r="J30" s="4"/>
      <c r="K30" s="5" t="s">
        <v>18</v>
      </c>
      <c r="L30" s="6">
        <f t="shared" si="0"/>
        <v>111000</v>
      </c>
    </row>
    <row r="31" spans="1:13" s="6" customFormat="1" ht="10.5" customHeight="1">
      <c r="A31" s="14">
        <v>20</v>
      </c>
      <c r="B31" s="21">
        <v>600</v>
      </c>
      <c r="C31" s="21">
        <v>60016</v>
      </c>
      <c r="D31" s="4" t="s">
        <v>32</v>
      </c>
      <c r="E31" s="2">
        <v>171000</v>
      </c>
      <c r="F31" s="3" t="s">
        <v>16</v>
      </c>
      <c r="G31" s="4">
        <v>0</v>
      </c>
      <c r="H31" s="4"/>
      <c r="I31" s="4">
        <v>100000</v>
      </c>
      <c r="J31" s="4">
        <f>59915.5-5000+5000</f>
        <v>59915.5</v>
      </c>
      <c r="K31" s="5" t="s">
        <v>18</v>
      </c>
      <c r="L31" s="6">
        <f t="shared" si="0"/>
        <v>159915.5</v>
      </c>
      <c r="M31" s="93"/>
    </row>
    <row r="32" spans="1:13" s="7" customFormat="1" ht="10.5" customHeight="1">
      <c r="A32" s="14">
        <v>21</v>
      </c>
      <c r="B32" s="21">
        <v>600</v>
      </c>
      <c r="C32" s="21">
        <v>60016</v>
      </c>
      <c r="D32" s="1" t="s">
        <v>33</v>
      </c>
      <c r="E32" s="2">
        <v>3050000</v>
      </c>
      <c r="F32" s="3" t="s">
        <v>9</v>
      </c>
      <c r="G32" s="4">
        <v>7740</v>
      </c>
      <c r="H32" s="4"/>
      <c r="I32" s="4">
        <v>1000000</v>
      </c>
      <c r="J32" s="4">
        <v>1522260</v>
      </c>
      <c r="K32" s="5" t="s">
        <v>18</v>
      </c>
      <c r="L32" s="6">
        <f t="shared" si="0"/>
        <v>2530000</v>
      </c>
      <c r="M32" s="94"/>
    </row>
    <row r="33" spans="1:12" s="7" customFormat="1" ht="12" customHeight="1">
      <c r="A33" s="14">
        <v>22</v>
      </c>
      <c r="B33" s="21">
        <v>600</v>
      </c>
      <c r="C33" s="21">
        <v>60016</v>
      </c>
      <c r="D33" s="10" t="s">
        <v>46</v>
      </c>
      <c r="E33" s="11">
        <v>90000</v>
      </c>
      <c r="F33" s="32" t="s">
        <v>7</v>
      </c>
      <c r="G33" s="13">
        <v>35000</v>
      </c>
      <c r="H33" s="13"/>
      <c r="I33" s="13">
        <v>55000</v>
      </c>
      <c r="J33" s="13"/>
      <c r="K33" s="5" t="s">
        <v>18</v>
      </c>
      <c r="L33" s="6">
        <f t="shared" si="0"/>
        <v>90000</v>
      </c>
    </row>
    <row r="34" spans="1:12" s="7" customFormat="1" ht="21" customHeight="1">
      <c r="A34" s="14">
        <v>23</v>
      </c>
      <c r="B34" s="21">
        <v>600</v>
      </c>
      <c r="C34" s="21">
        <v>60016</v>
      </c>
      <c r="D34" s="10" t="s">
        <v>40</v>
      </c>
      <c r="E34" s="11">
        <v>304231</v>
      </c>
      <c r="F34" s="32" t="s">
        <v>10</v>
      </c>
      <c r="G34" s="13">
        <v>70000</v>
      </c>
      <c r="H34" s="13">
        <f>E34-G34</f>
        <v>234231</v>
      </c>
      <c r="I34" s="13"/>
      <c r="J34" s="13"/>
      <c r="K34" s="5" t="s">
        <v>13</v>
      </c>
      <c r="L34" s="6">
        <f t="shared" si="0"/>
        <v>304231</v>
      </c>
    </row>
    <row r="35" spans="1:12" s="7" customFormat="1" ht="11.25" customHeight="1">
      <c r="A35" s="14">
        <v>24</v>
      </c>
      <c r="B35" s="21">
        <v>600</v>
      </c>
      <c r="C35" s="21">
        <v>60016</v>
      </c>
      <c r="D35" s="10" t="s">
        <v>50</v>
      </c>
      <c r="E35" s="11">
        <v>1045000</v>
      </c>
      <c r="F35" s="32" t="s">
        <v>9</v>
      </c>
      <c r="G35" s="13">
        <v>12200</v>
      </c>
      <c r="H35" s="13">
        <v>150000</v>
      </c>
      <c r="I35" s="13">
        <v>470000</v>
      </c>
      <c r="J35" s="13">
        <v>412800</v>
      </c>
      <c r="K35" s="5" t="s">
        <v>18</v>
      </c>
      <c r="L35" s="6">
        <f t="shared" si="0"/>
        <v>1045000</v>
      </c>
    </row>
    <row r="36" spans="1:12" s="7" customFormat="1" ht="10.5" customHeight="1">
      <c r="A36" s="14">
        <v>25</v>
      </c>
      <c r="B36" s="21">
        <v>600</v>
      </c>
      <c r="C36" s="21">
        <v>60016</v>
      </c>
      <c r="D36" s="10" t="s">
        <v>51</v>
      </c>
      <c r="E36" s="2">
        <v>423000</v>
      </c>
      <c r="F36" s="32" t="s">
        <v>7</v>
      </c>
      <c r="G36" s="13">
        <v>7200</v>
      </c>
      <c r="H36" s="13">
        <v>115800</v>
      </c>
      <c r="I36" s="4">
        <v>300000</v>
      </c>
      <c r="J36" s="13"/>
      <c r="K36" s="5" t="s">
        <v>18</v>
      </c>
      <c r="L36" s="6">
        <f t="shared" si="0"/>
        <v>423000</v>
      </c>
    </row>
    <row r="37" spans="1:12" s="7" customFormat="1" ht="22.5" customHeight="1">
      <c r="A37" s="14">
        <v>26</v>
      </c>
      <c r="B37" s="21">
        <v>600</v>
      </c>
      <c r="C37" s="21">
        <v>60016</v>
      </c>
      <c r="D37" s="30" t="s">
        <v>49</v>
      </c>
      <c r="E37" s="11">
        <f>SUM(G37:J37)</f>
        <v>336000</v>
      </c>
      <c r="F37" s="36" t="s">
        <v>7</v>
      </c>
      <c r="G37" s="11">
        <v>45000</v>
      </c>
      <c r="H37" s="11">
        <v>100000</v>
      </c>
      <c r="I37" s="4">
        <v>191000</v>
      </c>
      <c r="J37" s="4"/>
      <c r="K37" s="15" t="s">
        <v>54</v>
      </c>
      <c r="L37" s="6">
        <f t="shared" si="0"/>
        <v>336000</v>
      </c>
    </row>
    <row r="38" spans="1:12" s="7" customFormat="1" ht="12" customHeight="1">
      <c r="A38" s="14">
        <v>27</v>
      </c>
      <c r="B38" s="21">
        <v>600</v>
      </c>
      <c r="C38" s="21">
        <v>60016</v>
      </c>
      <c r="D38" s="28" t="s">
        <v>55</v>
      </c>
      <c r="E38" s="11">
        <v>1297000</v>
      </c>
      <c r="F38" s="38" t="s">
        <v>73</v>
      </c>
      <c r="G38" s="11">
        <f>4900+9416</f>
        <v>14316</v>
      </c>
      <c r="H38" s="11"/>
      <c r="I38" s="11">
        <v>400000</v>
      </c>
      <c r="J38" s="13">
        <v>400000</v>
      </c>
      <c r="K38" s="5" t="s">
        <v>18</v>
      </c>
      <c r="L38" s="6">
        <f t="shared" si="0"/>
        <v>814316</v>
      </c>
    </row>
    <row r="39" spans="1:12" s="7" customFormat="1" ht="12" customHeight="1">
      <c r="A39" s="14">
        <v>28</v>
      </c>
      <c r="B39" s="21">
        <v>600</v>
      </c>
      <c r="C39" s="21">
        <v>60016</v>
      </c>
      <c r="D39" s="28" t="s">
        <v>56</v>
      </c>
      <c r="E39" s="11">
        <f>650000*1.22</f>
        <v>793000</v>
      </c>
      <c r="F39" s="38" t="s">
        <v>16</v>
      </c>
      <c r="G39" s="11">
        <v>0</v>
      </c>
      <c r="H39" s="11">
        <v>35000</v>
      </c>
      <c r="I39" s="11">
        <v>325000</v>
      </c>
      <c r="J39" s="13">
        <f>E39-H39-I39</f>
        <v>433000</v>
      </c>
      <c r="K39" s="5" t="s">
        <v>18</v>
      </c>
      <c r="L39" s="6">
        <f t="shared" si="0"/>
        <v>793000</v>
      </c>
    </row>
    <row r="40" spans="1:12" s="7" customFormat="1" ht="12" customHeight="1">
      <c r="A40" s="14">
        <v>29</v>
      </c>
      <c r="B40" s="21">
        <v>600</v>
      </c>
      <c r="C40" s="21">
        <v>60016</v>
      </c>
      <c r="D40" s="42" t="s">
        <v>79</v>
      </c>
      <c r="E40" s="2">
        <v>1500000</v>
      </c>
      <c r="F40" s="43" t="s">
        <v>80</v>
      </c>
      <c r="G40" s="2">
        <v>0</v>
      </c>
      <c r="H40" s="2"/>
      <c r="I40" s="2"/>
      <c r="J40" s="4">
        <v>50000</v>
      </c>
      <c r="K40" s="5"/>
      <c r="L40" s="6">
        <f t="shared" si="0"/>
        <v>50000</v>
      </c>
    </row>
    <row r="41" spans="1:12" s="7" customFormat="1" ht="33.75" customHeight="1">
      <c r="A41" s="14">
        <v>30</v>
      </c>
      <c r="B41" s="21">
        <v>600</v>
      </c>
      <c r="C41" s="21">
        <v>60016</v>
      </c>
      <c r="D41" s="42" t="s">
        <v>135</v>
      </c>
      <c r="E41" s="2"/>
      <c r="F41" s="43"/>
      <c r="G41" s="2"/>
      <c r="H41" s="2">
        <v>180000</v>
      </c>
      <c r="I41" s="2"/>
      <c r="J41" s="4"/>
      <c r="K41" s="5"/>
      <c r="L41" s="6"/>
    </row>
    <row r="42" spans="1:13" s="7" customFormat="1" ht="11.25" customHeight="1">
      <c r="A42" s="14">
        <v>31</v>
      </c>
      <c r="B42" s="21">
        <v>600</v>
      </c>
      <c r="C42" s="21">
        <v>60095</v>
      </c>
      <c r="D42" s="13" t="s">
        <v>35</v>
      </c>
      <c r="E42" s="11">
        <v>4500000</v>
      </c>
      <c r="F42" s="32" t="s">
        <v>16</v>
      </c>
      <c r="G42" s="66">
        <v>0</v>
      </c>
      <c r="H42" s="13">
        <f>500000-37583</f>
        <v>462417</v>
      </c>
      <c r="I42" s="13">
        <v>2000000</v>
      </c>
      <c r="J42" s="4">
        <f>E42-SUM(G42:I42)</f>
        <v>2037583</v>
      </c>
      <c r="K42" s="15" t="s">
        <v>18</v>
      </c>
      <c r="L42" s="6">
        <f t="shared" si="0"/>
        <v>4500000</v>
      </c>
      <c r="M42" s="94"/>
    </row>
    <row r="43" spans="1:12" s="23" customFormat="1" ht="10.5" customHeight="1">
      <c r="A43" s="110" t="s">
        <v>34</v>
      </c>
      <c r="B43" s="110"/>
      <c r="C43" s="110"/>
      <c r="D43" s="110"/>
      <c r="E43" s="24">
        <f>SUM(E9:E42)</f>
        <v>48553979.0726</v>
      </c>
      <c r="F43" s="35"/>
      <c r="G43" s="24">
        <f>SUM(G9:G42)</f>
        <v>3907730</v>
      </c>
      <c r="H43" s="24">
        <f>SUM(H9:H42)-H24-H23-H22</f>
        <v>10468408.06</v>
      </c>
      <c r="I43" s="24">
        <f>SUM(I9:I42)-I24-I23-I22</f>
        <v>11587580</v>
      </c>
      <c r="J43" s="24">
        <f>SUM(J9:J42)-J24-J23-J22</f>
        <v>10313954.5</v>
      </c>
      <c r="K43" s="29"/>
      <c r="L43" s="6">
        <f t="shared" si="0"/>
        <v>36277672.56</v>
      </c>
    </row>
    <row r="44" spans="1:12" s="23" customFormat="1" ht="11.25" customHeight="1">
      <c r="A44" s="121" t="s">
        <v>90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2"/>
      <c r="L44" s="6">
        <f t="shared" si="0"/>
        <v>0</v>
      </c>
    </row>
    <row r="45" spans="1:12" s="23" customFormat="1" ht="12.75" customHeight="1">
      <c r="A45" s="12">
        <v>32</v>
      </c>
      <c r="B45" s="21">
        <v>754</v>
      </c>
      <c r="C45" s="21">
        <v>75495</v>
      </c>
      <c r="D45" s="13" t="s">
        <v>36</v>
      </c>
      <c r="E45" s="2">
        <f>250000+250000</f>
        <v>500000</v>
      </c>
      <c r="F45" s="3" t="s">
        <v>10</v>
      </c>
      <c r="G45" s="4">
        <v>100000</v>
      </c>
      <c r="H45" s="4">
        <v>400000</v>
      </c>
      <c r="I45" s="4"/>
      <c r="J45" s="4"/>
      <c r="K45" s="5" t="s">
        <v>13</v>
      </c>
      <c r="L45" s="6">
        <f t="shared" si="0"/>
        <v>500000</v>
      </c>
    </row>
    <row r="46" spans="1:12" s="23" customFormat="1" ht="10.5" customHeight="1">
      <c r="A46" s="110" t="s">
        <v>34</v>
      </c>
      <c r="B46" s="110"/>
      <c r="C46" s="110"/>
      <c r="D46" s="110"/>
      <c r="E46" s="24">
        <f>SUM(E45)</f>
        <v>500000</v>
      </c>
      <c r="F46" s="35"/>
      <c r="G46" s="25">
        <f>SUM(G45)</f>
        <v>100000</v>
      </c>
      <c r="H46" s="25">
        <f>SUM(H45)</f>
        <v>400000</v>
      </c>
      <c r="I46" s="25">
        <f>SUM(I45)</f>
        <v>0</v>
      </c>
      <c r="J46" s="25">
        <f>SUM(J45)</f>
        <v>0</v>
      </c>
      <c r="K46" s="25"/>
      <c r="L46" s="6">
        <f t="shared" si="0"/>
        <v>500000</v>
      </c>
    </row>
    <row r="47" spans="1:12" s="23" customFormat="1" ht="10.5" customHeight="1">
      <c r="A47" s="111" t="s">
        <v>91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2"/>
      <c r="L47" s="6">
        <f t="shared" si="0"/>
        <v>0</v>
      </c>
    </row>
    <row r="48" spans="1:12" s="23" customFormat="1" ht="23.25" customHeight="1">
      <c r="A48" s="12">
        <v>33</v>
      </c>
      <c r="B48" s="21">
        <v>801</v>
      </c>
      <c r="C48" s="21">
        <v>80101</v>
      </c>
      <c r="D48" s="13" t="s">
        <v>70</v>
      </c>
      <c r="E48" s="17">
        <v>1250000</v>
      </c>
      <c r="F48" s="4" t="s">
        <v>80</v>
      </c>
      <c r="G48" s="4">
        <v>0</v>
      </c>
      <c r="H48" s="4"/>
      <c r="I48" s="4"/>
      <c r="J48" s="4">
        <v>50000</v>
      </c>
      <c r="K48" s="5" t="s">
        <v>13</v>
      </c>
      <c r="L48" s="6">
        <f t="shared" si="0"/>
        <v>50000</v>
      </c>
    </row>
    <row r="49" spans="1:13" s="23" customFormat="1" ht="12.75" customHeight="1">
      <c r="A49" s="12">
        <v>34</v>
      </c>
      <c r="B49" s="21">
        <v>801</v>
      </c>
      <c r="C49" s="21">
        <v>80101</v>
      </c>
      <c r="D49" s="31" t="s">
        <v>81</v>
      </c>
      <c r="E49" s="17">
        <f>SUM(H49:J49)</f>
        <v>6982600</v>
      </c>
      <c r="F49" s="13" t="s">
        <v>16</v>
      </c>
      <c r="G49" s="4"/>
      <c r="H49" s="13">
        <v>982600</v>
      </c>
      <c r="I49" s="4">
        <v>3000000</v>
      </c>
      <c r="J49" s="4">
        <v>3000000</v>
      </c>
      <c r="K49" s="5" t="s">
        <v>13</v>
      </c>
      <c r="L49" s="6">
        <f t="shared" si="0"/>
        <v>6982600</v>
      </c>
      <c r="M49" s="95"/>
    </row>
    <row r="50" spans="1:12" s="23" customFormat="1" ht="22.5" customHeight="1">
      <c r="A50" s="12">
        <v>35</v>
      </c>
      <c r="B50" s="21">
        <v>801</v>
      </c>
      <c r="C50" s="21">
        <v>80101</v>
      </c>
      <c r="D50" s="31" t="s">
        <v>117</v>
      </c>
      <c r="E50" s="17"/>
      <c r="F50" s="13" t="s">
        <v>10</v>
      </c>
      <c r="G50" s="4"/>
      <c r="H50" s="13">
        <f>405049+189000-62000-127000-120282</f>
        <v>284767</v>
      </c>
      <c r="I50" s="4"/>
      <c r="J50" s="4"/>
      <c r="K50" s="74"/>
      <c r="L50" s="6"/>
    </row>
    <row r="51" spans="1:12" s="23" customFormat="1" ht="10.5" customHeight="1">
      <c r="A51" s="110" t="s">
        <v>34</v>
      </c>
      <c r="B51" s="110"/>
      <c r="C51" s="110"/>
      <c r="D51" s="110"/>
      <c r="E51" s="24">
        <f>SUM(E48,E49)</f>
        <v>8232600</v>
      </c>
      <c r="F51" s="35"/>
      <c r="G51" s="25">
        <f>SUM(G48)</f>
        <v>0</v>
      </c>
      <c r="H51" s="25">
        <f>SUM(H48:H50)</f>
        <v>1267367</v>
      </c>
      <c r="I51" s="25">
        <f>SUM(I48:I50)</f>
        <v>3000000</v>
      </c>
      <c r="J51" s="25">
        <f>SUM(J48:J50)</f>
        <v>3050000</v>
      </c>
      <c r="K51" s="22"/>
      <c r="L51" s="6">
        <f t="shared" si="0"/>
        <v>7317367</v>
      </c>
    </row>
    <row r="52" spans="1:12" ht="10.5" customHeight="1">
      <c r="A52" s="111" t="s">
        <v>114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2"/>
      <c r="L52" s="6">
        <f>SUM(G52:J52)</f>
        <v>0</v>
      </c>
    </row>
    <row r="53" spans="1:12" ht="35.25" customHeight="1">
      <c r="A53" s="12">
        <v>36</v>
      </c>
      <c r="B53" s="12">
        <v>851</v>
      </c>
      <c r="C53" s="12">
        <v>85154</v>
      </c>
      <c r="D53" s="10" t="s">
        <v>123</v>
      </c>
      <c r="E53" s="78"/>
      <c r="F53" s="81">
        <v>2005</v>
      </c>
      <c r="G53" s="80"/>
      <c r="H53" s="11">
        <f>403520-141200+32083</f>
        <v>294403</v>
      </c>
      <c r="I53" s="80"/>
      <c r="J53" s="46"/>
      <c r="K53" s="79"/>
      <c r="L53" s="6"/>
    </row>
    <row r="54" spans="1:12" ht="22.5" customHeight="1">
      <c r="A54" s="12">
        <v>37</v>
      </c>
      <c r="B54" s="12">
        <v>851</v>
      </c>
      <c r="C54" s="12">
        <v>85154</v>
      </c>
      <c r="D54" s="10" t="s">
        <v>124</v>
      </c>
      <c r="E54" s="78"/>
      <c r="F54" s="81">
        <v>2005</v>
      </c>
      <c r="G54" s="80"/>
      <c r="H54" s="11">
        <f>200175-68060+15917</f>
        <v>148032</v>
      </c>
      <c r="I54" s="80"/>
      <c r="J54" s="46"/>
      <c r="K54" s="79"/>
      <c r="L54" s="6"/>
    </row>
    <row r="55" spans="1:12" s="23" customFormat="1" ht="24.75" customHeight="1">
      <c r="A55" s="12">
        <v>38</v>
      </c>
      <c r="B55" s="21">
        <v>851</v>
      </c>
      <c r="C55" s="21">
        <v>85154</v>
      </c>
      <c r="D55" s="31" t="s">
        <v>117</v>
      </c>
      <c r="E55" s="17">
        <f>SUM(H55:J55)</f>
        <v>212023</v>
      </c>
      <c r="F55" s="13" t="s">
        <v>10</v>
      </c>
      <c r="G55" s="4"/>
      <c r="H55" s="13">
        <f>135017+63000+62000+55100-103094</f>
        <v>212023</v>
      </c>
      <c r="I55" s="4"/>
      <c r="J55" s="4"/>
      <c r="K55" s="5" t="s">
        <v>13</v>
      </c>
      <c r="L55" s="6">
        <f>SUM(G55:J55)</f>
        <v>212023</v>
      </c>
    </row>
    <row r="56" spans="1:12" s="23" customFormat="1" ht="12" customHeight="1">
      <c r="A56" s="110" t="s">
        <v>34</v>
      </c>
      <c r="B56" s="110"/>
      <c r="C56" s="110"/>
      <c r="D56" s="110"/>
      <c r="E56" s="24">
        <f>SUM(E52,E55)</f>
        <v>212023</v>
      </c>
      <c r="F56" s="35"/>
      <c r="G56" s="25">
        <f>SUM(G52)</f>
        <v>0</v>
      </c>
      <c r="H56" s="25">
        <f>SUM(H52:H55)</f>
        <v>654458</v>
      </c>
      <c r="I56" s="25">
        <f>SUM(I52:I55)</f>
        <v>0</v>
      </c>
      <c r="J56" s="25">
        <f>SUM(J52:J55)</f>
        <v>0</v>
      </c>
      <c r="K56" s="22"/>
      <c r="L56" s="6">
        <f>SUM(G56:J56)</f>
        <v>654458</v>
      </c>
    </row>
    <row r="57" spans="1:12" ht="10.5" customHeight="1">
      <c r="A57" s="111" t="s">
        <v>108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2"/>
      <c r="L57" s="6">
        <f t="shared" si="0"/>
        <v>0</v>
      </c>
    </row>
    <row r="58" spans="1:13" ht="24" customHeight="1">
      <c r="A58" s="12">
        <v>39</v>
      </c>
      <c r="B58" s="21">
        <v>852</v>
      </c>
      <c r="C58" s="21">
        <v>85219</v>
      </c>
      <c r="D58" s="10" t="s">
        <v>52</v>
      </c>
      <c r="E58" s="2">
        <v>1500000</v>
      </c>
      <c r="F58" s="3" t="s">
        <v>7</v>
      </c>
      <c r="G58" s="4">
        <v>30000</v>
      </c>
      <c r="H58" s="4">
        <f>1000000-500000+50000+600000-250000</f>
        <v>900000</v>
      </c>
      <c r="I58" s="4">
        <f>470000+500000</f>
        <v>970000</v>
      </c>
      <c r="J58" s="4"/>
      <c r="K58" s="5" t="s">
        <v>82</v>
      </c>
      <c r="L58" s="6">
        <f t="shared" si="0"/>
        <v>1900000</v>
      </c>
      <c r="M58" s="91"/>
    </row>
    <row r="59" spans="1:12" ht="33.75" customHeight="1">
      <c r="A59" s="12">
        <v>40</v>
      </c>
      <c r="B59" s="21">
        <v>852</v>
      </c>
      <c r="C59" s="21">
        <v>85219</v>
      </c>
      <c r="D59" s="10" t="s">
        <v>123</v>
      </c>
      <c r="E59" s="2"/>
      <c r="F59" s="77">
        <v>2005</v>
      </c>
      <c r="G59" s="4"/>
      <c r="H59" s="4">
        <v>141200</v>
      </c>
      <c r="I59" s="4"/>
      <c r="J59" s="4"/>
      <c r="K59" s="5"/>
      <c r="L59" s="6"/>
    </row>
    <row r="60" spans="1:12" ht="21">
      <c r="A60" s="12">
        <v>41</v>
      </c>
      <c r="B60" s="21">
        <v>852</v>
      </c>
      <c r="C60" s="21">
        <v>85219</v>
      </c>
      <c r="D60" s="10" t="s">
        <v>124</v>
      </c>
      <c r="E60" s="2"/>
      <c r="F60" s="77">
        <v>2005</v>
      </c>
      <c r="G60" s="4"/>
      <c r="H60" s="4">
        <v>68060</v>
      </c>
      <c r="I60" s="4"/>
      <c r="J60" s="4"/>
      <c r="K60" s="5"/>
      <c r="L60" s="6"/>
    </row>
    <row r="61" spans="1:12" s="23" customFormat="1" ht="12.75" customHeight="1">
      <c r="A61" s="110" t="s">
        <v>34</v>
      </c>
      <c r="B61" s="110"/>
      <c r="C61" s="110"/>
      <c r="D61" s="110"/>
      <c r="E61" s="24">
        <f>SUM(E57:E58)</f>
        <v>1500000</v>
      </c>
      <c r="F61" s="35"/>
      <c r="G61" s="25">
        <f>SUM(G57:G58)</f>
        <v>30000</v>
      </c>
      <c r="H61" s="25">
        <f>SUM(H58:H60)</f>
        <v>1109260</v>
      </c>
      <c r="I61" s="25">
        <f>SUM(I57:I58)</f>
        <v>970000</v>
      </c>
      <c r="J61" s="25">
        <f>SUM(J57:J58)</f>
        <v>0</v>
      </c>
      <c r="K61" s="25"/>
      <c r="L61" s="6">
        <f t="shared" si="0"/>
        <v>2109260</v>
      </c>
    </row>
    <row r="62" spans="1:12" s="7" customFormat="1" ht="11.25" customHeight="1">
      <c r="A62" s="110" t="s">
        <v>92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6">
        <f t="shared" si="0"/>
        <v>0</v>
      </c>
    </row>
    <row r="63" spans="1:12" ht="12.75" customHeight="1">
      <c r="A63" s="14">
        <v>42</v>
      </c>
      <c r="B63" s="61">
        <v>900</v>
      </c>
      <c r="C63" s="61">
        <v>90095</v>
      </c>
      <c r="D63" s="65" t="s">
        <v>11</v>
      </c>
      <c r="E63" s="2">
        <v>70000</v>
      </c>
      <c r="F63" s="3" t="s">
        <v>10</v>
      </c>
      <c r="G63" s="4">
        <v>20000</v>
      </c>
      <c r="H63" s="4">
        <v>50000</v>
      </c>
      <c r="I63" s="4"/>
      <c r="J63" s="4"/>
      <c r="K63" s="62" t="s">
        <v>13</v>
      </c>
      <c r="L63" s="6">
        <f t="shared" si="0"/>
        <v>70000</v>
      </c>
    </row>
    <row r="64" spans="1:13" ht="21" customHeight="1">
      <c r="A64" s="14">
        <v>43</v>
      </c>
      <c r="B64" s="21">
        <v>900</v>
      </c>
      <c r="C64" s="21">
        <v>90095</v>
      </c>
      <c r="D64" s="19" t="s">
        <v>12</v>
      </c>
      <c r="E64" s="11">
        <v>670000</v>
      </c>
      <c r="F64" s="3" t="s">
        <v>10</v>
      </c>
      <c r="G64" s="13">
        <v>100000</v>
      </c>
      <c r="H64" s="13">
        <f>570000-252000+135017-135017-62000</f>
        <v>256000</v>
      </c>
      <c r="I64" s="4"/>
      <c r="J64" s="4"/>
      <c r="K64" s="5" t="s">
        <v>18</v>
      </c>
      <c r="L64" s="6">
        <f t="shared" si="0"/>
        <v>356000</v>
      </c>
      <c r="M64" s="91"/>
    </row>
    <row r="65" spans="1:12" s="7" customFormat="1" ht="11.25" customHeight="1">
      <c r="A65" s="14">
        <v>44</v>
      </c>
      <c r="B65" s="21">
        <v>900</v>
      </c>
      <c r="C65" s="21">
        <v>90095</v>
      </c>
      <c r="D65" s="10" t="s">
        <v>45</v>
      </c>
      <c r="E65" s="11">
        <v>2650000</v>
      </c>
      <c r="F65" s="32" t="s">
        <v>73</v>
      </c>
      <c r="G65" s="13">
        <v>25000</v>
      </c>
      <c r="H65" s="13">
        <v>700000</v>
      </c>
      <c r="I65" s="13">
        <v>800000</v>
      </c>
      <c r="J65" s="13">
        <f>E65-(G65+H65+I65)</f>
        <v>1125000</v>
      </c>
      <c r="K65" s="5" t="s">
        <v>18</v>
      </c>
      <c r="L65" s="6">
        <f t="shared" si="0"/>
        <v>2650000</v>
      </c>
    </row>
    <row r="66" spans="1:12" s="7" customFormat="1" ht="12.75" customHeight="1">
      <c r="A66" s="14">
        <v>45</v>
      </c>
      <c r="B66" s="21">
        <v>900</v>
      </c>
      <c r="C66" s="21">
        <v>90095</v>
      </c>
      <c r="D66" s="1" t="s">
        <v>41</v>
      </c>
      <c r="E66" s="11">
        <v>477000</v>
      </c>
      <c r="F66" s="32" t="s">
        <v>99</v>
      </c>
      <c r="G66" s="13">
        <f>120000+482</f>
        <v>120482</v>
      </c>
      <c r="H66" s="13">
        <v>355865</v>
      </c>
      <c r="I66" s="13"/>
      <c r="J66" s="13"/>
      <c r="K66" s="5" t="s">
        <v>13</v>
      </c>
      <c r="L66" s="6">
        <f t="shared" si="0"/>
        <v>476347</v>
      </c>
    </row>
    <row r="67" spans="1:12" s="7" customFormat="1" ht="12.75" customHeight="1">
      <c r="A67" s="14">
        <v>46</v>
      </c>
      <c r="B67" s="21">
        <v>900</v>
      </c>
      <c r="C67" s="21">
        <v>90095</v>
      </c>
      <c r="D67" s="10" t="s">
        <v>47</v>
      </c>
      <c r="E67" s="11">
        <v>7000000</v>
      </c>
      <c r="F67" s="32" t="s">
        <v>14</v>
      </c>
      <c r="G67" s="13">
        <v>50000</v>
      </c>
      <c r="H67" s="13">
        <v>300000</v>
      </c>
      <c r="I67" s="13">
        <v>1000000</v>
      </c>
      <c r="J67" s="13">
        <v>2000000</v>
      </c>
      <c r="K67" s="5" t="s">
        <v>48</v>
      </c>
      <c r="L67" s="6">
        <f t="shared" si="0"/>
        <v>3350000</v>
      </c>
    </row>
    <row r="68" spans="1:12" s="23" customFormat="1" ht="10.5" customHeight="1">
      <c r="A68" s="110" t="s">
        <v>34</v>
      </c>
      <c r="B68" s="110"/>
      <c r="C68" s="110"/>
      <c r="D68" s="110"/>
      <c r="E68" s="24">
        <f>SUM(E63:E67)</f>
        <v>10867000</v>
      </c>
      <c r="F68" s="35"/>
      <c r="G68" s="25">
        <f>SUM(G63:G67)</f>
        <v>315482</v>
      </c>
      <c r="H68" s="25">
        <f>SUM(H63:H67)</f>
        <v>1661865</v>
      </c>
      <c r="I68" s="25">
        <f>SUM(I63:I67)</f>
        <v>1800000</v>
      </c>
      <c r="J68" s="25">
        <f>SUM(J63:J67)</f>
        <v>3125000</v>
      </c>
      <c r="K68" s="25"/>
      <c r="L68" s="6">
        <f t="shared" si="0"/>
        <v>6902347</v>
      </c>
    </row>
    <row r="69" spans="1:12" ht="10.5" customHeight="1">
      <c r="A69" s="111" t="s">
        <v>93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2"/>
      <c r="L69" s="6">
        <f t="shared" si="0"/>
        <v>0</v>
      </c>
    </row>
    <row r="70" spans="1:12" ht="12" customHeight="1">
      <c r="A70" s="12">
        <v>47</v>
      </c>
      <c r="B70" s="21">
        <v>921</v>
      </c>
      <c r="C70" s="21">
        <v>92116</v>
      </c>
      <c r="D70" s="1" t="s">
        <v>15</v>
      </c>
      <c r="E70" s="2">
        <v>1600000</v>
      </c>
      <c r="F70" s="3" t="s">
        <v>87</v>
      </c>
      <c r="G70" s="4">
        <v>0</v>
      </c>
      <c r="H70" s="4"/>
      <c r="I70" s="4">
        <v>50000</v>
      </c>
      <c r="J70" s="4">
        <v>250000</v>
      </c>
      <c r="K70" s="5" t="s">
        <v>18</v>
      </c>
      <c r="L70" s="6">
        <f t="shared" si="0"/>
        <v>300000</v>
      </c>
    </row>
    <row r="71" spans="1:12" ht="23.25" customHeight="1">
      <c r="A71" s="12">
        <v>48</v>
      </c>
      <c r="B71" s="21">
        <v>921</v>
      </c>
      <c r="C71" s="21">
        <v>92195</v>
      </c>
      <c r="D71" s="10" t="s">
        <v>53</v>
      </c>
      <c r="E71" s="2">
        <v>5000000</v>
      </c>
      <c r="F71" s="3" t="s">
        <v>9</v>
      </c>
      <c r="G71" s="4">
        <v>80000</v>
      </c>
      <c r="H71" s="4">
        <v>500000</v>
      </c>
      <c r="I71" s="4">
        <v>1500000</v>
      </c>
      <c r="J71" s="4">
        <v>2920000</v>
      </c>
      <c r="K71" s="5" t="s">
        <v>18</v>
      </c>
      <c r="L71" s="6">
        <f t="shared" si="0"/>
        <v>5000000</v>
      </c>
    </row>
    <row r="72" spans="1:12" s="23" customFormat="1" ht="10.5" customHeight="1">
      <c r="A72" s="110" t="s">
        <v>34</v>
      </c>
      <c r="B72" s="110"/>
      <c r="C72" s="110"/>
      <c r="D72" s="110"/>
      <c r="E72" s="24">
        <f>SUM(E70:E71)</f>
        <v>6600000</v>
      </c>
      <c r="F72" s="35"/>
      <c r="G72" s="25">
        <f>SUM(G70:G71)</f>
        <v>80000</v>
      </c>
      <c r="H72" s="25">
        <f>SUM(H70:H71)</f>
        <v>500000</v>
      </c>
      <c r="I72" s="25">
        <f>SUM(I70:I71)</f>
        <v>1550000</v>
      </c>
      <c r="J72" s="25">
        <f>SUM(J70:J71)</f>
        <v>3170000</v>
      </c>
      <c r="K72" s="25"/>
      <c r="L72" s="6">
        <f t="shared" si="0"/>
        <v>5300000</v>
      </c>
    </row>
    <row r="73" spans="1:12" s="7" customFormat="1" ht="10.5" customHeight="1">
      <c r="A73" s="118" t="s">
        <v>94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9"/>
      <c r="L73" s="6">
        <f t="shared" si="0"/>
        <v>0</v>
      </c>
    </row>
    <row r="74" spans="1:12" s="7" customFormat="1" ht="12.75" customHeight="1">
      <c r="A74" s="12">
        <v>49</v>
      </c>
      <c r="B74" s="21">
        <v>926</v>
      </c>
      <c r="C74" s="21">
        <v>92695</v>
      </c>
      <c r="D74" s="10" t="s">
        <v>5</v>
      </c>
      <c r="E74" s="11">
        <v>18860000</v>
      </c>
      <c r="F74" s="32" t="s">
        <v>75</v>
      </c>
      <c r="G74" s="13">
        <f>13615616+2107851</f>
        <v>15723467</v>
      </c>
      <c r="H74" s="13">
        <f>3136533-222791-398293-480256-600000</f>
        <v>1435193</v>
      </c>
      <c r="I74" s="13"/>
      <c r="J74" s="64"/>
      <c r="K74" s="5" t="s">
        <v>18</v>
      </c>
      <c r="L74" s="6">
        <f t="shared" si="0"/>
        <v>17158660</v>
      </c>
    </row>
    <row r="75" spans="1:14" ht="12.75" customHeight="1">
      <c r="A75" s="82">
        <v>50</v>
      </c>
      <c r="B75" s="72">
        <v>926</v>
      </c>
      <c r="C75" s="72">
        <v>92695</v>
      </c>
      <c r="D75" s="1" t="s">
        <v>119</v>
      </c>
      <c r="E75" s="2">
        <v>12045515</v>
      </c>
      <c r="F75" s="130" t="s">
        <v>7</v>
      </c>
      <c r="G75" s="11">
        <f>1000000-250000-150000+45515</f>
        <v>645515</v>
      </c>
      <c r="H75" s="4">
        <f>5000000+980166+649281</f>
        <v>6629447</v>
      </c>
      <c r="I75" s="4">
        <f>6000000+250000+150000</f>
        <v>6400000</v>
      </c>
      <c r="J75" s="4">
        <v>0</v>
      </c>
      <c r="K75" s="15" t="s">
        <v>18</v>
      </c>
      <c r="L75" s="6">
        <f t="shared" si="0"/>
        <v>13674962</v>
      </c>
      <c r="M75" s="8"/>
      <c r="N75" s="8"/>
    </row>
    <row r="76" spans="1:14" ht="12.75" customHeight="1">
      <c r="A76" s="83"/>
      <c r="B76" s="87"/>
      <c r="C76" s="72"/>
      <c r="D76" s="1" t="s">
        <v>120</v>
      </c>
      <c r="E76" s="2">
        <v>5067280</v>
      </c>
      <c r="F76" s="131"/>
      <c r="G76" s="73">
        <v>44980</v>
      </c>
      <c r="H76" s="4">
        <v>2735300</v>
      </c>
      <c r="I76" s="4">
        <v>2287000</v>
      </c>
      <c r="J76" s="4">
        <v>0</v>
      </c>
      <c r="K76" s="15"/>
      <c r="L76" s="6"/>
      <c r="M76" s="8"/>
      <c r="N76" s="8"/>
    </row>
    <row r="77" spans="1:14" ht="12.75" customHeight="1">
      <c r="A77" s="84"/>
      <c r="B77" s="88"/>
      <c r="C77" s="86"/>
      <c r="D77" s="1" t="s">
        <v>121</v>
      </c>
      <c r="E77" s="2">
        <v>1000000</v>
      </c>
      <c r="F77" s="131"/>
      <c r="G77" s="73">
        <v>0</v>
      </c>
      <c r="H77" s="4">
        <v>900000</v>
      </c>
      <c r="I77" s="4">
        <v>100000</v>
      </c>
      <c r="J77" s="4">
        <v>0</v>
      </c>
      <c r="K77" s="15"/>
      <c r="L77" s="6"/>
      <c r="M77" s="8"/>
      <c r="N77" s="8"/>
    </row>
    <row r="78" spans="1:14" ht="24.75" customHeight="1">
      <c r="A78" s="85"/>
      <c r="B78" s="89"/>
      <c r="C78" s="61"/>
      <c r="D78" s="90" t="s">
        <v>122</v>
      </c>
      <c r="E78" s="2"/>
      <c r="F78" s="132"/>
      <c r="G78" s="75"/>
      <c r="H78" s="4">
        <f>980166+649281</f>
        <v>1629447</v>
      </c>
      <c r="I78" s="4"/>
      <c r="J78" s="4"/>
      <c r="K78" s="15"/>
      <c r="L78" s="6"/>
      <c r="M78" s="8"/>
      <c r="N78" s="8"/>
    </row>
    <row r="79" spans="1:14" ht="24" customHeight="1">
      <c r="A79" s="14">
        <v>51</v>
      </c>
      <c r="B79" s="61">
        <v>926</v>
      </c>
      <c r="C79" s="61">
        <v>92695</v>
      </c>
      <c r="D79" s="1" t="s">
        <v>127</v>
      </c>
      <c r="E79" s="2">
        <v>8000000</v>
      </c>
      <c r="F79" s="3" t="s">
        <v>9</v>
      </c>
      <c r="G79" s="4">
        <v>31000</v>
      </c>
      <c r="H79" s="4">
        <f>500000+222791+2219774+500000-499910-649281+305000-878374+5000</f>
        <v>1725000</v>
      </c>
      <c r="I79" s="4">
        <v>500000</v>
      </c>
      <c r="J79" s="4">
        <f>E79-(G79+H79+I79)</f>
        <v>5744000</v>
      </c>
      <c r="K79" s="15" t="s">
        <v>18</v>
      </c>
      <c r="L79" s="6">
        <f t="shared" si="0"/>
        <v>8000000</v>
      </c>
      <c r="M79" s="92"/>
      <c r="N79" s="8"/>
    </row>
    <row r="80" spans="1:12" ht="25.5" customHeight="1">
      <c r="A80" s="14">
        <v>52</v>
      </c>
      <c r="B80" s="21">
        <v>926</v>
      </c>
      <c r="C80" s="21">
        <v>92695</v>
      </c>
      <c r="D80" s="1" t="s">
        <v>6</v>
      </c>
      <c r="E80" s="2">
        <v>550000</v>
      </c>
      <c r="F80" s="3" t="s">
        <v>76</v>
      </c>
      <c r="G80" s="4">
        <v>0</v>
      </c>
      <c r="H80" s="4">
        <v>50000</v>
      </c>
      <c r="I80" s="4">
        <v>500000</v>
      </c>
      <c r="J80" s="4">
        <f>E80-(G80+H80+I80)</f>
        <v>0</v>
      </c>
      <c r="K80" s="15" t="s">
        <v>18</v>
      </c>
      <c r="L80" s="6">
        <f t="shared" si="0"/>
        <v>550000</v>
      </c>
    </row>
    <row r="81" spans="1:12" s="7" customFormat="1" ht="14.25" customHeight="1">
      <c r="A81" s="14">
        <v>53</v>
      </c>
      <c r="B81" s="21">
        <v>926</v>
      </c>
      <c r="C81" s="21">
        <v>92695</v>
      </c>
      <c r="D81" s="1" t="s">
        <v>42</v>
      </c>
      <c r="E81" s="2">
        <v>100000</v>
      </c>
      <c r="F81" s="3" t="s">
        <v>10</v>
      </c>
      <c r="G81" s="4">
        <v>14000</v>
      </c>
      <c r="H81" s="4">
        <v>86000</v>
      </c>
      <c r="I81" s="4"/>
      <c r="J81" s="4"/>
      <c r="K81" s="5" t="s">
        <v>13</v>
      </c>
      <c r="L81" s="6">
        <f t="shared" si="0"/>
        <v>100000</v>
      </c>
    </row>
    <row r="82" spans="1:12" s="7" customFormat="1" ht="23.25" customHeight="1">
      <c r="A82" s="14">
        <v>54</v>
      </c>
      <c r="B82" s="21">
        <v>926</v>
      </c>
      <c r="C82" s="21">
        <v>92695</v>
      </c>
      <c r="D82" s="1" t="s">
        <v>8</v>
      </c>
      <c r="E82" s="2">
        <v>350000</v>
      </c>
      <c r="F82" s="3" t="s">
        <v>7</v>
      </c>
      <c r="G82" s="4">
        <v>25000</v>
      </c>
      <c r="H82" s="4">
        <v>50000</v>
      </c>
      <c r="I82" s="4">
        <v>275000</v>
      </c>
      <c r="J82" s="4"/>
      <c r="K82" s="5" t="s">
        <v>13</v>
      </c>
      <c r="L82" s="6">
        <f t="shared" si="0"/>
        <v>350000</v>
      </c>
    </row>
    <row r="83" spans="1:12" s="7" customFormat="1" ht="22.5" customHeight="1">
      <c r="A83" s="14">
        <v>55</v>
      </c>
      <c r="B83" s="21">
        <v>926</v>
      </c>
      <c r="C83" s="21">
        <v>92695</v>
      </c>
      <c r="D83" s="18" t="s">
        <v>44</v>
      </c>
      <c r="E83" s="11">
        <v>495000</v>
      </c>
      <c r="F83" s="33" t="s">
        <v>7</v>
      </c>
      <c r="G83" s="11">
        <v>65000</v>
      </c>
      <c r="H83" s="11">
        <v>200000</v>
      </c>
      <c r="I83" s="4">
        <v>230000</v>
      </c>
      <c r="J83" s="4"/>
      <c r="K83" s="5" t="s">
        <v>13</v>
      </c>
      <c r="L83" s="6">
        <f t="shared" si="0"/>
        <v>495000</v>
      </c>
    </row>
    <row r="84" spans="1:12" s="7" customFormat="1" ht="15" customHeight="1">
      <c r="A84" s="14">
        <v>56</v>
      </c>
      <c r="B84" s="21">
        <v>926</v>
      </c>
      <c r="C84" s="21">
        <v>92695</v>
      </c>
      <c r="D84" s="28" t="s">
        <v>43</v>
      </c>
      <c r="E84" s="11">
        <v>393293</v>
      </c>
      <c r="F84" s="33" t="s">
        <v>7</v>
      </c>
      <c r="G84" s="11">
        <v>22000</v>
      </c>
      <c r="H84" s="11">
        <f>200000-101707+101707</f>
        <v>200000</v>
      </c>
      <c r="I84" s="11">
        <v>273000</v>
      </c>
      <c r="J84" s="4"/>
      <c r="K84" s="5" t="s">
        <v>13</v>
      </c>
      <c r="L84" s="6">
        <f t="shared" si="0"/>
        <v>495000</v>
      </c>
    </row>
    <row r="85" spans="1:12" s="7" customFormat="1" ht="25.5" customHeight="1">
      <c r="A85" s="14">
        <v>57</v>
      </c>
      <c r="B85" s="21">
        <v>926</v>
      </c>
      <c r="C85" s="21">
        <v>92695</v>
      </c>
      <c r="D85" s="28" t="s">
        <v>86</v>
      </c>
      <c r="E85" s="11">
        <v>15000000</v>
      </c>
      <c r="F85" s="33" t="s">
        <v>84</v>
      </c>
      <c r="G85" s="11">
        <v>0</v>
      </c>
      <c r="H85" s="11"/>
      <c r="I85" s="11">
        <v>1000000</v>
      </c>
      <c r="J85" s="4">
        <v>3000000</v>
      </c>
      <c r="K85" s="5" t="s">
        <v>85</v>
      </c>
      <c r="L85" s="6">
        <f>SUM(G85:J85)</f>
        <v>4000000</v>
      </c>
    </row>
    <row r="86" spans="1:12" s="23" customFormat="1" ht="10.5" customHeight="1">
      <c r="A86" s="110" t="s">
        <v>34</v>
      </c>
      <c r="B86" s="110"/>
      <c r="C86" s="110"/>
      <c r="D86" s="110"/>
      <c r="E86" s="25">
        <f>SUM(E74:E85)-E76-E77</f>
        <v>55793808</v>
      </c>
      <c r="F86" s="34"/>
      <c r="G86" s="25">
        <f>SUM(G74:G85)-G76-G77</f>
        <v>16525982</v>
      </c>
      <c r="H86" s="25">
        <f>SUM(H74:H85)-H76-H77-H78</f>
        <v>10375640</v>
      </c>
      <c r="I86" s="25">
        <f>SUM(I74:I85)-I76-I77-I78</f>
        <v>9178000</v>
      </c>
      <c r="J86" s="25">
        <f>SUM(J74:J85)-J76-J77-J78</f>
        <v>8744000</v>
      </c>
      <c r="K86" s="29"/>
      <c r="L86" s="6">
        <f>SUM(G86:J86)</f>
        <v>44823622</v>
      </c>
    </row>
    <row r="87" spans="1:12" ht="12.75" customHeight="1">
      <c r="A87" s="110" t="s">
        <v>39</v>
      </c>
      <c r="B87" s="110"/>
      <c r="C87" s="110"/>
      <c r="D87" s="110"/>
      <c r="E87" s="41">
        <f>SUM(E43,E46,E51,E61,E68,E72,E86)</f>
        <v>132047387.0726</v>
      </c>
      <c r="F87" s="34"/>
      <c r="G87" s="41">
        <f>SUM(G43,G46,G51,G61,G68,G72,G86)</f>
        <v>20959194</v>
      </c>
      <c r="H87" s="41">
        <f>SUM(H43,H46,H51,H56,H61,H68,H72,H86)</f>
        <v>26436998.060000002</v>
      </c>
      <c r="I87" s="41">
        <f>SUM(I43,I46,I51,I56,I61,I68,I72,I86)</f>
        <v>28085580</v>
      </c>
      <c r="J87" s="41">
        <f>SUM(J43,J46,J51,J56,J61,J68,J72,J86)</f>
        <v>28402954.5</v>
      </c>
      <c r="K87" s="40"/>
      <c r="L87" s="6">
        <f>SUM(G87:J87)</f>
        <v>103884726.56</v>
      </c>
    </row>
    <row r="88" ht="10.5">
      <c r="H88" s="8">
        <f>H87-27535814</f>
        <v>-1098815.9399999976</v>
      </c>
    </row>
    <row r="90" spans="4:13" ht="10.5">
      <c r="D90" s="108"/>
      <c r="E90" s="109"/>
      <c r="F90" s="109"/>
      <c r="G90" s="109"/>
      <c r="H90" s="109"/>
      <c r="I90" s="109"/>
      <c r="J90" s="109"/>
      <c r="K90" s="109"/>
      <c r="L90" s="109"/>
      <c r="M90" s="109"/>
    </row>
  </sheetData>
  <mergeCells count="31">
    <mergeCell ref="D90:M90"/>
    <mergeCell ref="A52:K52"/>
    <mergeCell ref="A56:D56"/>
    <mergeCell ref="F75:F78"/>
    <mergeCell ref="A87:D87"/>
    <mergeCell ref="A2:J2"/>
    <mergeCell ref="A3:J3"/>
    <mergeCell ref="F5:F6"/>
    <mergeCell ref="A4:K4"/>
    <mergeCell ref="E5:E6"/>
    <mergeCell ref="G5:G6"/>
    <mergeCell ref="B5:B6"/>
    <mergeCell ref="C5:C6"/>
    <mergeCell ref="A5:A6"/>
    <mergeCell ref="A51:D51"/>
    <mergeCell ref="A72:D72"/>
    <mergeCell ref="A73:K73"/>
    <mergeCell ref="A8:K8"/>
    <mergeCell ref="A43:D43"/>
    <mergeCell ref="A46:D46"/>
    <mergeCell ref="A44:K44"/>
    <mergeCell ref="A1:J1"/>
    <mergeCell ref="A86:D86"/>
    <mergeCell ref="A61:D61"/>
    <mergeCell ref="A62:K62"/>
    <mergeCell ref="A69:K69"/>
    <mergeCell ref="A57:K57"/>
    <mergeCell ref="A68:D68"/>
    <mergeCell ref="D5:D6"/>
    <mergeCell ref="H5:J5"/>
    <mergeCell ref="A47:K47"/>
  </mergeCells>
  <printOptions horizontalCentered="1"/>
  <pageMargins left="0.35433070866141736" right="0.5118110236220472" top="0.2362204724409449" bottom="0.2362204724409449" header="0.1968503937007874" footer="0.196850393700787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="75" zoomScaleNormal="75" workbookViewId="0" topLeftCell="A1">
      <pane ySplit="11" topLeftCell="BM12" activePane="bottomLeft" state="frozen"/>
      <selection pane="topLeft" activeCell="B1" sqref="B1"/>
      <selection pane="bottomLeft" activeCell="L52" sqref="A1:L52"/>
    </sheetView>
  </sheetViews>
  <sheetFormatPr defaultColWidth="9.00390625" defaultRowHeight="12.75"/>
  <cols>
    <col min="1" max="1" width="5.125" style="47" customWidth="1"/>
    <col min="2" max="2" width="8.00390625" style="47" customWidth="1"/>
    <col min="3" max="3" width="51.75390625" style="47" customWidth="1"/>
    <col min="4" max="4" width="0.6171875" style="58" hidden="1" customWidth="1"/>
    <col min="5" max="5" width="10.25390625" style="58" hidden="1" customWidth="1"/>
    <col min="6" max="6" width="10.375" style="47" customWidth="1"/>
    <col min="7" max="7" width="10.25390625" style="47" customWidth="1"/>
    <col min="8" max="8" width="10.75390625" style="47" customWidth="1"/>
    <col min="9" max="9" width="11.125" style="47" hidden="1" customWidth="1"/>
    <col min="10" max="10" width="11.25390625" style="47" customWidth="1"/>
    <col min="11" max="11" width="11.125" style="47" customWidth="1"/>
    <col min="12" max="12" width="12.375" style="47" customWidth="1"/>
    <col min="13" max="13" width="11.625" style="47" bestFit="1" customWidth="1"/>
    <col min="14" max="16384" width="9.125" style="47" customWidth="1"/>
  </cols>
  <sheetData>
    <row r="1" spans="3:12" ht="13.5" customHeight="1">
      <c r="C1" s="47" t="s">
        <v>113</v>
      </c>
      <c r="F1" s="108" t="s">
        <v>137</v>
      </c>
      <c r="G1" s="108"/>
      <c r="H1" s="108"/>
      <c r="I1" s="108"/>
      <c r="J1" s="108"/>
      <c r="K1" s="108"/>
      <c r="L1" s="108"/>
    </row>
    <row r="2" spans="6:12" ht="12.75" customHeight="1">
      <c r="F2" s="108" t="s">
        <v>138</v>
      </c>
      <c r="G2" s="133"/>
      <c r="H2" s="133"/>
      <c r="I2" s="133"/>
      <c r="J2" s="133"/>
      <c r="K2" s="133"/>
      <c r="L2" s="133"/>
    </row>
    <row r="3" spans="6:12" ht="12.75" customHeight="1">
      <c r="F3" s="108" t="s">
        <v>128</v>
      </c>
      <c r="G3" s="108"/>
      <c r="H3" s="108"/>
      <c r="I3" s="108"/>
      <c r="J3" s="108"/>
      <c r="K3" s="108"/>
      <c r="L3" s="108"/>
    </row>
    <row r="4" spans="6:12" ht="12.75" customHeight="1">
      <c r="F4" s="108" t="s">
        <v>111</v>
      </c>
      <c r="G4" s="108"/>
      <c r="H4" s="108"/>
      <c r="I4" s="108"/>
      <c r="J4" s="108"/>
      <c r="K4" s="108"/>
      <c r="L4" s="134"/>
    </row>
    <row r="5" spans="6:12" ht="18.75" customHeight="1">
      <c r="F5" s="96"/>
      <c r="G5" s="96"/>
      <c r="H5" s="96"/>
      <c r="I5" s="96"/>
      <c r="J5" s="96"/>
      <c r="K5" s="96"/>
      <c r="L5" s="96"/>
    </row>
    <row r="6" spans="3:12" ht="12.75">
      <c r="C6" s="142" t="s">
        <v>107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3:12" ht="24.75" customHeight="1">
      <c r="C7" s="143" t="s">
        <v>126</v>
      </c>
      <c r="D7" s="143"/>
      <c r="E7" s="143"/>
      <c r="F7" s="143"/>
      <c r="G7" s="143"/>
      <c r="H7" s="143"/>
      <c r="I7" s="143"/>
      <c r="J7" s="143"/>
      <c r="K7" s="143"/>
      <c r="L7" s="143"/>
    </row>
    <row r="8" spans="1:21" s="55" customFormat="1" ht="36" customHeight="1">
      <c r="A8" s="102" t="s">
        <v>37</v>
      </c>
      <c r="B8" s="102" t="s">
        <v>38</v>
      </c>
      <c r="C8" s="137" t="s">
        <v>95</v>
      </c>
      <c r="D8" s="140" t="s">
        <v>96</v>
      </c>
      <c r="E8" s="141"/>
      <c r="F8" s="107" t="s">
        <v>100</v>
      </c>
      <c r="G8" s="107"/>
      <c r="H8" s="107"/>
      <c r="I8" s="107"/>
      <c r="J8" s="107"/>
      <c r="K8" s="107"/>
      <c r="L8" s="107"/>
      <c r="O8" s="108"/>
      <c r="P8" s="108"/>
      <c r="Q8" s="108"/>
      <c r="R8" s="108"/>
      <c r="S8" s="108"/>
      <c r="T8" s="108"/>
      <c r="U8" s="108"/>
    </row>
    <row r="9" spans="1:12" s="55" customFormat="1" ht="12.75" customHeight="1">
      <c r="A9" s="136"/>
      <c r="B9" s="136"/>
      <c r="C9" s="138"/>
      <c r="D9" s="102" t="s">
        <v>97</v>
      </c>
      <c r="E9" s="102" t="s">
        <v>98</v>
      </c>
      <c r="F9" s="104" t="s">
        <v>101</v>
      </c>
      <c r="G9" s="105"/>
      <c r="H9" s="105"/>
      <c r="I9" s="106"/>
      <c r="J9" s="107" t="s">
        <v>102</v>
      </c>
      <c r="K9" s="107"/>
      <c r="L9" s="107"/>
    </row>
    <row r="10" spans="1:12" s="55" customFormat="1" ht="20.25" customHeight="1">
      <c r="A10" s="103"/>
      <c r="B10" s="103"/>
      <c r="C10" s="139"/>
      <c r="D10" s="103"/>
      <c r="E10" s="103"/>
      <c r="F10" s="39" t="s">
        <v>103</v>
      </c>
      <c r="G10" s="39" t="s">
        <v>104</v>
      </c>
      <c r="H10" s="39" t="s">
        <v>105</v>
      </c>
      <c r="I10" s="39" t="s">
        <v>106</v>
      </c>
      <c r="J10" s="39" t="s">
        <v>103</v>
      </c>
      <c r="K10" s="39" t="s">
        <v>104</v>
      </c>
      <c r="L10" s="39" t="s">
        <v>105</v>
      </c>
    </row>
    <row r="11" spans="1:12" s="55" customFormat="1" ht="12.75">
      <c r="A11" s="45">
        <v>1</v>
      </c>
      <c r="B11" s="45">
        <v>2</v>
      </c>
      <c r="C11" s="45">
        <v>3</v>
      </c>
      <c r="D11" s="45">
        <v>5</v>
      </c>
      <c r="E11" s="45">
        <v>6</v>
      </c>
      <c r="F11" s="45">
        <v>8</v>
      </c>
      <c r="G11" s="45">
        <v>9</v>
      </c>
      <c r="H11" s="45"/>
      <c r="I11" s="45"/>
      <c r="J11" s="45">
        <v>10</v>
      </c>
      <c r="K11" s="45"/>
      <c r="L11" s="45"/>
    </row>
    <row r="12" spans="1:12" ht="12.75" customHeight="1">
      <c r="A12" s="46">
        <v>600</v>
      </c>
      <c r="B12" s="101" t="s">
        <v>61</v>
      </c>
      <c r="C12" s="111"/>
      <c r="D12" s="111"/>
      <c r="E12" s="112"/>
      <c r="F12" s="71">
        <f>SUM(F15:F30)-F21-F22-F23</f>
        <v>1774649</v>
      </c>
      <c r="G12" s="71">
        <f aca="true" t="shared" si="0" ref="G12:L12">SUM(G15:G30)-G21-G22-G23</f>
        <v>2119590</v>
      </c>
      <c r="H12" s="71">
        <f t="shared" si="0"/>
        <v>1488786</v>
      </c>
      <c r="I12" s="71">
        <f t="shared" si="0"/>
        <v>500000</v>
      </c>
      <c r="J12" s="71">
        <f t="shared" si="0"/>
        <v>5186697</v>
      </c>
      <c r="K12" s="71">
        <f t="shared" si="0"/>
        <v>6358770</v>
      </c>
      <c r="L12" s="71">
        <f t="shared" si="0"/>
        <v>4466357</v>
      </c>
    </row>
    <row r="13" spans="1:12" ht="12.75" hidden="1">
      <c r="A13" s="12">
        <v>600</v>
      </c>
      <c r="B13" s="12">
        <v>60016</v>
      </c>
      <c r="C13" s="48" t="s">
        <v>17</v>
      </c>
      <c r="D13" s="32">
        <v>2003</v>
      </c>
      <c r="E13" s="53">
        <v>2006</v>
      </c>
      <c r="F13" s="57"/>
      <c r="G13" s="57"/>
      <c r="H13" s="57"/>
      <c r="I13" s="57"/>
      <c r="J13" s="57"/>
      <c r="K13" s="57"/>
      <c r="L13" s="57"/>
    </row>
    <row r="14" spans="1:12" ht="21" hidden="1">
      <c r="A14" s="12">
        <v>600</v>
      </c>
      <c r="B14" s="12">
        <v>60016</v>
      </c>
      <c r="C14" s="48" t="s">
        <v>65</v>
      </c>
      <c r="D14" s="32">
        <v>1999</v>
      </c>
      <c r="E14" s="53">
        <v>2008</v>
      </c>
      <c r="F14" s="57"/>
      <c r="G14" s="57"/>
      <c r="H14" s="57"/>
      <c r="I14" s="57"/>
      <c r="J14" s="57"/>
      <c r="K14" s="57"/>
      <c r="L14" s="57"/>
    </row>
    <row r="15" spans="1:13" ht="21">
      <c r="A15" s="12">
        <v>600</v>
      </c>
      <c r="B15" s="12">
        <v>60016</v>
      </c>
      <c r="C15" s="48" t="s">
        <v>19</v>
      </c>
      <c r="D15" s="32">
        <v>1996</v>
      </c>
      <c r="E15" s="53">
        <v>2007</v>
      </c>
      <c r="F15" s="67">
        <f>400000-250000</f>
        <v>150000</v>
      </c>
      <c r="G15" s="67">
        <v>125000</v>
      </c>
      <c r="H15" s="67">
        <v>245625</v>
      </c>
      <c r="I15" s="57"/>
      <c r="J15" s="67">
        <v>200000</v>
      </c>
      <c r="K15" s="67">
        <v>375000</v>
      </c>
      <c r="L15" s="67">
        <v>736875</v>
      </c>
      <c r="M15" s="59">
        <f>F15+J15</f>
        <v>350000</v>
      </c>
    </row>
    <row r="16" spans="1:13" ht="12.75">
      <c r="A16" s="12">
        <v>600</v>
      </c>
      <c r="B16" s="12">
        <v>60016</v>
      </c>
      <c r="C16" s="19" t="s">
        <v>66</v>
      </c>
      <c r="D16" s="32">
        <v>2003</v>
      </c>
      <c r="E16" s="53">
        <v>2006</v>
      </c>
      <c r="F16" s="67">
        <f>375000+330150</f>
        <v>705150</v>
      </c>
      <c r="G16" s="67">
        <v>87600</v>
      </c>
      <c r="H16" s="67">
        <v>0</v>
      </c>
      <c r="I16" s="67"/>
      <c r="J16" s="67">
        <f>1125000+990450</f>
        <v>2115450</v>
      </c>
      <c r="K16" s="67">
        <v>262800</v>
      </c>
      <c r="L16" s="67">
        <v>0</v>
      </c>
      <c r="M16" s="59">
        <f aca="true" t="shared" si="1" ref="M16:M52">F16+J16</f>
        <v>2820600</v>
      </c>
    </row>
    <row r="17" spans="1:13" ht="12.75">
      <c r="A17" s="12">
        <v>600</v>
      </c>
      <c r="B17" s="12">
        <v>60016</v>
      </c>
      <c r="C17" s="48" t="s">
        <v>22</v>
      </c>
      <c r="D17" s="32">
        <v>2002</v>
      </c>
      <c r="E17" s="53">
        <v>2006</v>
      </c>
      <c r="F17" s="67">
        <v>0</v>
      </c>
      <c r="G17" s="67">
        <v>368570</v>
      </c>
      <c r="H17" s="67"/>
      <c r="I17" s="67"/>
      <c r="J17" s="67">
        <v>0</v>
      </c>
      <c r="K17" s="67">
        <v>1105710</v>
      </c>
      <c r="L17" s="67"/>
      <c r="M17" s="59">
        <f t="shared" si="1"/>
        <v>0</v>
      </c>
    </row>
    <row r="18" spans="1:13" ht="12.75">
      <c r="A18" s="12">
        <v>600</v>
      </c>
      <c r="B18" s="12">
        <v>60016</v>
      </c>
      <c r="C18" s="48" t="s">
        <v>24</v>
      </c>
      <c r="D18" s="32">
        <v>2004</v>
      </c>
      <c r="E18" s="53">
        <v>2006</v>
      </c>
      <c r="F18" s="67">
        <v>47500</v>
      </c>
      <c r="G18" s="67">
        <v>125920</v>
      </c>
      <c r="H18" s="67"/>
      <c r="I18" s="67"/>
      <c r="J18" s="67">
        <v>142500</v>
      </c>
      <c r="K18" s="67">
        <v>377760</v>
      </c>
      <c r="L18" s="67">
        <v>0</v>
      </c>
      <c r="M18" s="59">
        <f t="shared" si="1"/>
        <v>190000</v>
      </c>
    </row>
    <row r="19" spans="1:13" ht="12.75">
      <c r="A19" s="12">
        <v>600</v>
      </c>
      <c r="B19" s="12">
        <v>60016</v>
      </c>
      <c r="C19" s="48" t="s">
        <v>25</v>
      </c>
      <c r="D19" s="32">
        <v>2004</v>
      </c>
      <c r="E19" s="53">
        <v>2006</v>
      </c>
      <c r="F19" s="67">
        <v>25000</v>
      </c>
      <c r="G19" s="67">
        <v>97250</v>
      </c>
      <c r="H19" s="67"/>
      <c r="I19" s="67"/>
      <c r="J19" s="67">
        <v>75000</v>
      </c>
      <c r="K19" s="67">
        <v>291750</v>
      </c>
      <c r="L19" s="67">
        <v>0</v>
      </c>
      <c r="M19" s="59">
        <f t="shared" si="1"/>
        <v>100000</v>
      </c>
    </row>
    <row r="20" spans="1:13" ht="21">
      <c r="A20" s="12">
        <v>600</v>
      </c>
      <c r="B20" s="12">
        <v>60016</v>
      </c>
      <c r="C20" s="48" t="s">
        <v>134</v>
      </c>
      <c r="D20" s="32"/>
      <c r="E20" s="53"/>
      <c r="F20" s="67">
        <f>SUM(F21:F23)</f>
        <v>481207</v>
      </c>
      <c r="G20" s="67">
        <f aca="true" t="shared" si="2" ref="G20:L20">SUM(G21:G23)</f>
        <v>0</v>
      </c>
      <c r="H20" s="67">
        <f t="shared" si="2"/>
        <v>0</v>
      </c>
      <c r="I20" s="67">
        <f t="shared" si="2"/>
        <v>0</v>
      </c>
      <c r="J20" s="67">
        <f t="shared" si="2"/>
        <v>1443622</v>
      </c>
      <c r="K20" s="67">
        <f t="shared" si="2"/>
        <v>0</v>
      </c>
      <c r="L20" s="67">
        <f t="shared" si="2"/>
        <v>0</v>
      </c>
      <c r="M20" s="59"/>
    </row>
    <row r="21" spans="1:13" ht="36" customHeight="1">
      <c r="A21" s="12"/>
      <c r="B21" s="12"/>
      <c r="C21" s="49" t="s">
        <v>131</v>
      </c>
      <c r="D21" s="32">
        <v>2003</v>
      </c>
      <c r="E21" s="53">
        <v>2005</v>
      </c>
      <c r="F21" s="67">
        <f>451996-161766</f>
        <v>290230</v>
      </c>
      <c r="G21" s="67"/>
      <c r="H21" s="67"/>
      <c r="I21" s="67"/>
      <c r="J21" s="67">
        <f>708923+161766</f>
        <v>870689</v>
      </c>
      <c r="K21" s="67"/>
      <c r="L21" s="67"/>
      <c r="M21" s="59">
        <f t="shared" si="1"/>
        <v>1160919</v>
      </c>
    </row>
    <row r="22" spans="1:13" ht="12.75">
      <c r="A22" s="12"/>
      <c r="B22" s="12"/>
      <c r="C22" s="48" t="s">
        <v>132</v>
      </c>
      <c r="D22" s="32">
        <v>2004</v>
      </c>
      <c r="E22" s="53">
        <v>2005</v>
      </c>
      <c r="F22" s="67">
        <f>323098-156820</f>
        <v>166278</v>
      </c>
      <c r="G22" s="68"/>
      <c r="H22" s="67"/>
      <c r="I22" s="67"/>
      <c r="J22" s="67">
        <f>342014+156820</f>
        <v>498834</v>
      </c>
      <c r="K22" s="68"/>
      <c r="L22" s="67"/>
      <c r="M22" s="59">
        <f t="shared" si="1"/>
        <v>665112</v>
      </c>
    </row>
    <row r="23" spans="1:13" ht="12.75">
      <c r="A23" s="12"/>
      <c r="B23" s="12"/>
      <c r="C23" s="48" t="s">
        <v>133</v>
      </c>
      <c r="D23" s="32"/>
      <c r="E23" s="53"/>
      <c r="F23" s="67">
        <v>24699</v>
      </c>
      <c r="G23" s="68"/>
      <c r="H23" s="67"/>
      <c r="I23" s="67"/>
      <c r="J23" s="67">
        <v>74099</v>
      </c>
      <c r="K23" s="68"/>
      <c r="L23" s="67"/>
      <c r="M23" s="59"/>
    </row>
    <row r="24" spans="1:13" ht="12.75">
      <c r="A24" s="12">
        <v>600</v>
      </c>
      <c r="B24" s="12">
        <v>60016</v>
      </c>
      <c r="C24" s="48" t="s">
        <v>27</v>
      </c>
      <c r="D24" s="32">
        <v>1999</v>
      </c>
      <c r="E24" s="53">
        <v>2006</v>
      </c>
      <c r="F24" s="67">
        <v>71250</v>
      </c>
      <c r="G24" s="67">
        <v>75000</v>
      </c>
      <c r="H24" s="67"/>
      <c r="I24" s="67"/>
      <c r="J24" s="67">
        <v>213750</v>
      </c>
      <c r="K24" s="67">
        <v>225000</v>
      </c>
      <c r="L24" s="67"/>
      <c r="M24" s="59">
        <f t="shared" si="1"/>
        <v>285000</v>
      </c>
    </row>
    <row r="25" spans="1:13" ht="21">
      <c r="A25" s="12">
        <v>600</v>
      </c>
      <c r="B25" s="12">
        <v>60016</v>
      </c>
      <c r="C25" s="48" t="s">
        <v>31</v>
      </c>
      <c r="D25" s="32">
        <v>2004</v>
      </c>
      <c r="E25" s="53">
        <v>2008</v>
      </c>
      <c r="F25" s="67">
        <v>115675</v>
      </c>
      <c r="G25" s="67">
        <v>250000</v>
      </c>
      <c r="H25" s="67">
        <v>250000</v>
      </c>
      <c r="I25" s="67">
        <f>500000</f>
        <v>500000</v>
      </c>
      <c r="J25" s="67">
        <v>347025</v>
      </c>
      <c r="K25" s="67">
        <v>750000</v>
      </c>
      <c r="L25" s="67">
        <v>750000</v>
      </c>
      <c r="M25" s="59">
        <f t="shared" si="1"/>
        <v>462700</v>
      </c>
    </row>
    <row r="26" spans="1:13" ht="12.75">
      <c r="A26" s="12">
        <v>600</v>
      </c>
      <c r="B26" s="12">
        <v>60016</v>
      </c>
      <c r="C26" s="48" t="s">
        <v>33</v>
      </c>
      <c r="D26" s="32">
        <v>2004</v>
      </c>
      <c r="E26" s="53">
        <v>2007</v>
      </c>
      <c r="F26" s="67">
        <v>0</v>
      </c>
      <c r="G26" s="67">
        <v>250000</v>
      </c>
      <c r="H26" s="67">
        <v>380565</v>
      </c>
      <c r="I26" s="67"/>
      <c r="J26" s="67">
        <v>0</v>
      </c>
      <c r="K26" s="67">
        <v>750000</v>
      </c>
      <c r="L26" s="67">
        <v>1141695</v>
      </c>
      <c r="M26" s="59">
        <f t="shared" si="1"/>
        <v>0</v>
      </c>
    </row>
    <row r="27" spans="1:13" ht="12.75">
      <c r="A27" s="12">
        <v>600</v>
      </c>
      <c r="B27" s="12">
        <v>60016</v>
      </c>
      <c r="C27" s="19" t="s">
        <v>50</v>
      </c>
      <c r="D27" s="32">
        <v>2004</v>
      </c>
      <c r="E27" s="53">
        <v>2007</v>
      </c>
      <c r="F27" s="67">
        <v>37500</v>
      </c>
      <c r="G27" s="67">
        <v>117500</v>
      </c>
      <c r="H27" s="67">
        <v>103200</v>
      </c>
      <c r="I27" s="67"/>
      <c r="J27" s="67">
        <v>112500</v>
      </c>
      <c r="K27" s="67">
        <v>352500</v>
      </c>
      <c r="L27" s="67">
        <v>309600</v>
      </c>
      <c r="M27" s="59">
        <f t="shared" si="1"/>
        <v>150000</v>
      </c>
    </row>
    <row r="28" spans="1:13" ht="12.75">
      <c r="A28" s="12">
        <v>600</v>
      </c>
      <c r="B28" s="12">
        <v>60016</v>
      </c>
      <c r="C28" s="19" t="s">
        <v>51</v>
      </c>
      <c r="D28" s="32">
        <v>2004</v>
      </c>
      <c r="E28" s="53">
        <v>2006</v>
      </c>
      <c r="F28" s="67">
        <v>28950</v>
      </c>
      <c r="G28" s="67">
        <v>75000</v>
      </c>
      <c r="H28" s="67">
        <v>0</v>
      </c>
      <c r="I28" s="67"/>
      <c r="J28" s="67">
        <v>86850</v>
      </c>
      <c r="K28" s="67">
        <v>225000</v>
      </c>
      <c r="L28" s="67">
        <v>0</v>
      </c>
      <c r="M28" s="59">
        <f t="shared" si="1"/>
        <v>115800</v>
      </c>
    </row>
    <row r="29" spans="1:13" ht="21">
      <c r="A29" s="12">
        <v>600</v>
      </c>
      <c r="B29" s="12">
        <v>60016</v>
      </c>
      <c r="C29" s="30" t="s">
        <v>49</v>
      </c>
      <c r="D29" s="32">
        <v>2004</v>
      </c>
      <c r="E29" s="53">
        <v>2006</v>
      </c>
      <c r="F29" s="67">
        <v>25000</v>
      </c>
      <c r="G29" s="67">
        <v>47750</v>
      </c>
      <c r="H29" s="67">
        <v>0</v>
      </c>
      <c r="I29" s="67"/>
      <c r="J29" s="67">
        <v>75000</v>
      </c>
      <c r="K29" s="67">
        <v>143250</v>
      </c>
      <c r="L29" s="67">
        <v>0</v>
      </c>
      <c r="M29" s="59">
        <f t="shared" si="1"/>
        <v>100000</v>
      </c>
    </row>
    <row r="30" spans="1:13" ht="12.75">
      <c r="A30" s="12">
        <v>600</v>
      </c>
      <c r="B30" s="12">
        <v>60095</v>
      </c>
      <c r="C30" s="51" t="s">
        <v>35</v>
      </c>
      <c r="D30" s="32">
        <v>2005</v>
      </c>
      <c r="E30" s="53">
        <v>2007</v>
      </c>
      <c r="F30" s="67">
        <v>87417</v>
      </c>
      <c r="G30" s="67">
        <v>500000</v>
      </c>
      <c r="H30" s="67">
        <v>509396</v>
      </c>
      <c r="I30" s="67"/>
      <c r="J30" s="67">
        <v>375000</v>
      </c>
      <c r="K30" s="67">
        <v>1500000</v>
      </c>
      <c r="L30" s="67">
        <v>1528187</v>
      </c>
      <c r="M30" s="59">
        <f t="shared" si="1"/>
        <v>462417</v>
      </c>
    </row>
    <row r="31" spans="1:13" ht="12.75" customHeight="1">
      <c r="A31" s="46">
        <v>801</v>
      </c>
      <c r="B31" s="101" t="s">
        <v>58</v>
      </c>
      <c r="C31" s="111"/>
      <c r="D31" s="111"/>
      <c r="E31" s="112"/>
      <c r="F31" s="44">
        <f>SUM(F32:F33)</f>
        <v>0</v>
      </c>
      <c r="G31" s="44">
        <f aca="true" t="shared" si="3" ref="G31:L31">SUM(G32,G33)</f>
        <v>750000</v>
      </c>
      <c r="H31" s="44">
        <f t="shared" si="3"/>
        <v>750000</v>
      </c>
      <c r="I31" s="44">
        <f t="shared" si="3"/>
        <v>0</v>
      </c>
      <c r="J31" s="44">
        <f>SUM(J32:J33)</f>
        <v>284767</v>
      </c>
      <c r="K31" s="44">
        <f t="shared" si="3"/>
        <v>2250000</v>
      </c>
      <c r="L31" s="44">
        <f t="shared" si="3"/>
        <v>2250000</v>
      </c>
      <c r="M31" s="59">
        <f t="shared" si="1"/>
        <v>284767</v>
      </c>
    </row>
    <row r="32" spans="1:13" ht="12.75">
      <c r="A32" s="12">
        <v>801</v>
      </c>
      <c r="B32" s="12">
        <v>80101</v>
      </c>
      <c r="C32" s="13" t="s">
        <v>81</v>
      </c>
      <c r="D32" s="32">
        <v>2005</v>
      </c>
      <c r="E32" s="53">
        <v>2010</v>
      </c>
      <c r="F32" s="67">
        <v>0</v>
      </c>
      <c r="G32" s="67">
        <v>750000</v>
      </c>
      <c r="H32" s="67">
        <v>750000</v>
      </c>
      <c r="I32" s="67"/>
      <c r="J32" s="67">
        <v>0</v>
      </c>
      <c r="K32" s="67">
        <v>2250000</v>
      </c>
      <c r="L32" s="67">
        <v>2250000</v>
      </c>
      <c r="M32" s="59">
        <f t="shared" si="1"/>
        <v>0</v>
      </c>
    </row>
    <row r="33" spans="1:13" ht="21">
      <c r="A33" s="12">
        <v>801</v>
      </c>
      <c r="B33" s="76">
        <v>80101</v>
      </c>
      <c r="C33" s="13" t="s">
        <v>118</v>
      </c>
      <c r="D33" s="33"/>
      <c r="E33" s="33"/>
      <c r="F33" s="67">
        <v>0</v>
      </c>
      <c r="G33" s="67"/>
      <c r="H33" s="67"/>
      <c r="I33" s="67"/>
      <c r="J33" s="67">
        <f>405049+189000-62000-127000-120282</f>
        <v>284767</v>
      </c>
      <c r="K33" s="67"/>
      <c r="L33" s="67"/>
      <c r="M33" s="59">
        <f t="shared" si="1"/>
        <v>284767</v>
      </c>
    </row>
    <row r="34" spans="1:13" ht="12.75" customHeight="1">
      <c r="A34" s="46">
        <v>851</v>
      </c>
      <c r="B34" s="101" t="s">
        <v>116</v>
      </c>
      <c r="C34" s="111"/>
      <c r="D34" s="111"/>
      <c r="E34" s="112"/>
      <c r="F34" s="44">
        <f aca="true" t="shared" si="4" ref="F34:L34">SUM(F35)</f>
        <v>94923</v>
      </c>
      <c r="G34" s="44">
        <f t="shared" si="4"/>
        <v>0</v>
      </c>
      <c r="H34" s="44">
        <f t="shared" si="4"/>
        <v>0</v>
      </c>
      <c r="I34" s="44">
        <f t="shared" si="4"/>
        <v>0</v>
      </c>
      <c r="J34" s="44">
        <f t="shared" si="4"/>
        <v>0</v>
      </c>
      <c r="K34" s="44">
        <f t="shared" si="4"/>
        <v>0</v>
      </c>
      <c r="L34" s="44">
        <f t="shared" si="4"/>
        <v>0</v>
      </c>
      <c r="M34" s="59">
        <f t="shared" si="1"/>
        <v>94923</v>
      </c>
    </row>
    <row r="35" spans="1:13" ht="21">
      <c r="A35" s="12">
        <v>851</v>
      </c>
      <c r="B35" s="76">
        <v>85154</v>
      </c>
      <c r="C35" s="13" t="s">
        <v>118</v>
      </c>
      <c r="D35" s="33"/>
      <c r="E35" s="33"/>
      <c r="F35" s="67">
        <f>135017+63000-55100-47994</f>
        <v>94923</v>
      </c>
      <c r="G35" s="67"/>
      <c r="H35" s="67"/>
      <c r="I35" s="67"/>
      <c r="J35" s="67">
        <v>0</v>
      </c>
      <c r="K35" s="67"/>
      <c r="L35" s="67"/>
      <c r="M35" s="59">
        <f t="shared" si="1"/>
        <v>94923</v>
      </c>
    </row>
    <row r="36" spans="1:13" ht="26.25" customHeight="1">
      <c r="A36" s="46">
        <v>900</v>
      </c>
      <c r="B36" s="101" t="s">
        <v>60</v>
      </c>
      <c r="C36" s="111"/>
      <c r="D36" s="111"/>
      <c r="E36" s="112"/>
      <c r="F36" s="25">
        <f aca="true" t="shared" si="5" ref="F36:L36">SUM(F37:F38)</f>
        <v>250000</v>
      </c>
      <c r="G36" s="25">
        <f t="shared" si="5"/>
        <v>450000</v>
      </c>
      <c r="H36" s="25">
        <f t="shared" si="5"/>
        <v>781250</v>
      </c>
      <c r="I36" s="25">
        <f t="shared" si="5"/>
        <v>500000</v>
      </c>
      <c r="J36" s="25">
        <f t="shared" si="5"/>
        <v>750000</v>
      </c>
      <c r="K36" s="25">
        <f t="shared" si="5"/>
        <v>1350000</v>
      </c>
      <c r="L36" s="25">
        <f t="shared" si="5"/>
        <v>2343750</v>
      </c>
      <c r="M36" s="59">
        <f t="shared" si="1"/>
        <v>1000000</v>
      </c>
    </row>
    <row r="37" spans="1:13" ht="12.75">
      <c r="A37" s="12">
        <v>900</v>
      </c>
      <c r="B37" s="12">
        <v>90095</v>
      </c>
      <c r="C37" s="19" t="s">
        <v>45</v>
      </c>
      <c r="D37" s="32">
        <v>2004</v>
      </c>
      <c r="E37" s="53">
        <v>2008</v>
      </c>
      <c r="F37" s="67">
        <v>175000</v>
      </c>
      <c r="G37" s="67">
        <v>200000</v>
      </c>
      <c r="H37" s="67">
        <v>281250</v>
      </c>
      <c r="I37" s="67"/>
      <c r="J37" s="67">
        <v>525000</v>
      </c>
      <c r="K37" s="67">
        <v>600000</v>
      </c>
      <c r="L37" s="67">
        <v>843750</v>
      </c>
      <c r="M37" s="59">
        <f t="shared" si="1"/>
        <v>700000</v>
      </c>
    </row>
    <row r="38" spans="1:13" ht="12.75">
      <c r="A38" s="12">
        <v>900</v>
      </c>
      <c r="B38" s="12">
        <v>90095</v>
      </c>
      <c r="C38" s="19" t="s">
        <v>47</v>
      </c>
      <c r="D38" s="32">
        <v>2004</v>
      </c>
      <c r="E38" s="53">
        <v>2010</v>
      </c>
      <c r="F38" s="67">
        <v>75000</v>
      </c>
      <c r="G38" s="67">
        <v>250000</v>
      </c>
      <c r="H38" s="67">
        <v>500000</v>
      </c>
      <c r="I38" s="67">
        <v>500000</v>
      </c>
      <c r="J38" s="67">
        <v>225000</v>
      </c>
      <c r="K38" s="67">
        <v>750000</v>
      </c>
      <c r="L38" s="67">
        <v>1500000</v>
      </c>
      <c r="M38" s="59">
        <f t="shared" si="1"/>
        <v>300000</v>
      </c>
    </row>
    <row r="39" spans="1:13" ht="12.75">
      <c r="A39" s="46">
        <v>921</v>
      </c>
      <c r="B39" s="101" t="s">
        <v>62</v>
      </c>
      <c r="C39" s="111"/>
      <c r="D39" s="111"/>
      <c r="E39" s="112"/>
      <c r="F39" s="25">
        <f aca="true" t="shared" si="6" ref="F39:L39">SUM(F40:F40)</f>
        <v>125000</v>
      </c>
      <c r="G39" s="25">
        <f t="shared" si="6"/>
        <v>375000</v>
      </c>
      <c r="H39" s="25">
        <f t="shared" si="6"/>
        <v>730000</v>
      </c>
      <c r="I39" s="54">
        <f t="shared" si="6"/>
        <v>0</v>
      </c>
      <c r="J39" s="25">
        <f t="shared" si="6"/>
        <v>175000</v>
      </c>
      <c r="K39" s="25">
        <f t="shared" si="6"/>
        <v>1125000</v>
      </c>
      <c r="L39" s="25">
        <f t="shared" si="6"/>
        <v>2190000</v>
      </c>
      <c r="M39" s="59">
        <f t="shared" si="1"/>
        <v>300000</v>
      </c>
    </row>
    <row r="40" spans="1:13" ht="21">
      <c r="A40" s="12">
        <v>921</v>
      </c>
      <c r="B40" s="12">
        <v>92195</v>
      </c>
      <c r="C40" s="19" t="s">
        <v>53</v>
      </c>
      <c r="D40" s="32">
        <v>2004</v>
      </c>
      <c r="E40" s="53">
        <v>2007</v>
      </c>
      <c r="F40" s="69">
        <v>125000</v>
      </c>
      <c r="G40" s="69">
        <v>375000</v>
      </c>
      <c r="H40" s="69">
        <v>730000</v>
      </c>
      <c r="I40" s="69"/>
      <c r="J40" s="69">
        <f>375000-200000</f>
        <v>175000</v>
      </c>
      <c r="K40" s="69">
        <v>1125000</v>
      </c>
      <c r="L40" s="69">
        <v>2190000</v>
      </c>
      <c r="M40" s="59">
        <f t="shared" si="1"/>
        <v>300000</v>
      </c>
    </row>
    <row r="41" spans="1:13" ht="12.75" customHeight="1">
      <c r="A41" s="46">
        <v>926</v>
      </c>
      <c r="B41" s="101" t="s">
        <v>59</v>
      </c>
      <c r="C41" s="111"/>
      <c r="D41" s="111"/>
      <c r="E41" s="112"/>
      <c r="F41" s="71">
        <f aca="true" t="shared" si="7" ref="F41:L41">SUM(F42:F43)</f>
        <v>2092362</v>
      </c>
      <c r="G41" s="71">
        <f t="shared" si="7"/>
        <v>1725000</v>
      </c>
      <c r="H41" s="71">
        <f t="shared" si="7"/>
        <v>1293907</v>
      </c>
      <c r="I41" s="71">
        <f t="shared" si="7"/>
        <v>0</v>
      </c>
      <c r="J41" s="71">
        <f t="shared" si="7"/>
        <v>6262085</v>
      </c>
      <c r="K41" s="71">
        <f t="shared" si="7"/>
        <v>5175000</v>
      </c>
      <c r="L41" s="71">
        <f t="shared" si="7"/>
        <v>3881720</v>
      </c>
      <c r="M41" s="59">
        <f t="shared" si="1"/>
        <v>8354447</v>
      </c>
    </row>
    <row r="42" spans="1:13" ht="12.75">
      <c r="A42" s="12">
        <v>926</v>
      </c>
      <c r="B42" s="12">
        <v>92695</v>
      </c>
      <c r="C42" s="48" t="s">
        <v>115</v>
      </c>
      <c r="D42" s="32">
        <v>2004</v>
      </c>
      <c r="E42" s="53">
        <v>2006</v>
      </c>
      <c r="F42" s="67">
        <v>1657362</v>
      </c>
      <c r="G42" s="67">
        <v>1600000</v>
      </c>
      <c r="H42" s="67"/>
      <c r="I42" s="67"/>
      <c r="J42" s="67">
        <f>5000000+980166+649281-1657362</f>
        <v>4972085</v>
      </c>
      <c r="K42" s="67">
        <v>4800000</v>
      </c>
      <c r="L42" s="70"/>
      <c r="M42" s="59">
        <f t="shared" si="1"/>
        <v>6629447</v>
      </c>
    </row>
    <row r="43" spans="1:13" ht="21" customHeight="1">
      <c r="A43" s="12">
        <v>926</v>
      </c>
      <c r="B43" s="12">
        <v>92695</v>
      </c>
      <c r="C43" s="48" t="s">
        <v>127</v>
      </c>
      <c r="D43" s="32">
        <v>2004</v>
      </c>
      <c r="E43" s="53">
        <v>2007</v>
      </c>
      <c r="F43" s="67">
        <f>125000+305000+5000</f>
        <v>435000</v>
      </c>
      <c r="G43" s="67">
        <v>125000</v>
      </c>
      <c r="H43" s="67">
        <v>1293907</v>
      </c>
      <c r="I43" s="67"/>
      <c r="J43" s="67">
        <f>375000+222791+2219774+500000-499910-649281-878374</f>
        <v>1290000</v>
      </c>
      <c r="K43" s="67">
        <v>375000</v>
      </c>
      <c r="L43" s="67">
        <v>3881720</v>
      </c>
      <c r="M43" s="59">
        <f t="shared" si="1"/>
        <v>1725000</v>
      </c>
    </row>
    <row r="44" spans="1:13" ht="21" hidden="1">
      <c r="A44" s="12">
        <v>926</v>
      </c>
      <c r="B44" s="12">
        <v>92695</v>
      </c>
      <c r="C44" s="48" t="s">
        <v>6</v>
      </c>
      <c r="D44" s="32">
        <v>2005</v>
      </c>
      <c r="E44" s="53">
        <v>2006</v>
      </c>
      <c r="F44" s="67">
        <v>774191</v>
      </c>
      <c r="G44" s="56"/>
      <c r="H44" s="56"/>
      <c r="I44" s="56"/>
      <c r="J44" s="56"/>
      <c r="K44" s="56"/>
      <c r="L44" s="56"/>
      <c r="M44" s="59">
        <f t="shared" si="1"/>
        <v>774191</v>
      </c>
    </row>
    <row r="45" spans="1:13" ht="21" hidden="1">
      <c r="A45" s="12">
        <v>926</v>
      </c>
      <c r="B45" s="12">
        <v>92695</v>
      </c>
      <c r="C45" s="48" t="s">
        <v>42</v>
      </c>
      <c r="D45" s="32">
        <v>2004</v>
      </c>
      <c r="E45" s="53">
        <v>2005</v>
      </c>
      <c r="F45" s="67">
        <v>774191</v>
      </c>
      <c r="G45" s="56"/>
      <c r="H45" s="56"/>
      <c r="I45" s="56"/>
      <c r="J45" s="56"/>
      <c r="K45" s="56"/>
      <c r="L45" s="56"/>
      <c r="M45" s="59">
        <f t="shared" si="1"/>
        <v>774191</v>
      </c>
    </row>
    <row r="46" spans="1:13" ht="21" hidden="1">
      <c r="A46" s="12">
        <v>926</v>
      </c>
      <c r="B46" s="12">
        <v>92695</v>
      </c>
      <c r="C46" s="52" t="s">
        <v>44</v>
      </c>
      <c r="D46" s="32">
        <v>2004</v>
      </c>
      <c r="E46" s="53">
        <v>2006</v>
      </c>
      <c r="F46" s="56"/>
      <c r="G46" s="56"/>
      <c r="H46" s="56"/>
      <c r="I46" s="56"/>
      <c r="J46" s="56"/>
      <c r="K46" s="56"/>
      <c r="L46" s="56"/>
      <c r="M46" s="59">
        <f t="shared" si="1"/>
        <v>0</v>
      </c>
    </row>
    <row r="47" spans="1:13" ht="22.5" customHeight="1" hidden="1">
      <c r="A47" s="12">
        <v>926</v>
      </c>
      <c r="B47" s="12">
        <v>92695</v>
      </c>
      <c r="C47" s="50" t="s">
        <v>43</v>
      </c>
      <c r="D47" s="32">
        <v>2004</v>
      </c>
      <c r="E47" s="53">
        <v>2005</v>
      </c>
      <c r="F47" s="56"/>
      <c r="G47" s="56"/>
      <c r="H47" s="56"/>
      <c r="I47" s="56"/>
      <c r="J47" s="56"/>
      <c r="K47" s="56"/>
      <c r="L47" s="56"/>
      <c r="M47" s="59">
        <f t="shared" si="1"/>
        <v>0</v>
      </c>
    </row>
    <row r="48" spans="1:13" ht="21" hidden="1">
      <c r="A48" s="12">
        <v>926</v>
      </c>
      <c r="B48" s="12">
        <v>92695</v>
      </c>
      <c r="C48" s="28" t="s">
        <v>71</v>
      </c>
      <c r="D48" s="32">
        <v>2005</v>
      </c>
      <c r="E48" s="53">
        <v>2005</v>
      </c>
      <c r="F48" s="56"/>
      <c r="G48" s="56"/>
      <c r="H48" s="56"/>
      <c r="I48" s="56"/>
      <c r="J48" s="56"/>
      <c r="K48" s="56"/>
      <c r="L48" s="56"/>
      <c r="M48" s="59">
        <f t="shared" si="1"/>
        <v>0</v>
      </c>
    </row>
    <row r="49" spans="1:13" ht="21" hidden="1">
      <c r="A49" s="12">
        <v>926</v>
      </c>
      <c r="B49" s="12">
        <v>92695</v>
      </c>
      <c r="C49" s="28" t="s">
        <v>72</v>
      </c>
      <c r="D49" s="32">
        <v>2005</v>
      </c>
      <c r="E49" s="53">
        <v>2005</v>
      </c>
      <c r="F49" s="56"/>
      <c r="G49" s="56"/>
      <c r="H49" s="56"/>
      <c r="I49" s="56"/>
      <c r="J49" s="56"/>
      <c r="K49" s="56"/>
      <c r="L49" s="56"/>
      <c r="M49" s="59">
        <f t="shared" si="1"/>
        <v>0</v>
      </c>
    </row>
    <row r="50" spans="1:13" ht="21" hidden="1">
      <c r="A50" s="12">
        <v>926</v>
      </c>
      <c r="B50" s="12">
        <v>92695</v>
      </c>
      <c r="C50" s="28" t="s">
        <v>77</v>
      </c>
      <c r="D50" s="32">
        <v>2005</v>
      </c>
      <c r="E50" s="53">
        <v>2005</v>
      </c>
      <c r="F50" s="56"/>
      <c r="G50" s="56"/>
      <c r="H50" s="56"/>
      <c r="I50" s="56"/>
      <c r="J50" s="56"/>
      <c r="K50" s="56"/>
      <c r="L50" s="56"/>
      <c r="M50" s="59">
        <f t="shared" si="1"/>
        <v>0</v>
      </c>
    </row>
    <row r="51" spans="1:13" ht="21" customHeight="1" hidden="1">
      <c r="A51" s="12">
        <v>926</v>
      </c>
      <c r="B51" s="12">
        <v>92695</v>
      </c>
      <c r="C51" s="28" t="s">
        <v>86</v>
      </c>
      <c r="D51" s="32">
        <v>2006</v>
      </c>
      <c r="E51" s="53">
        <v>2009</v>
      </c>
      <c r="F51" s="56"/>
      <c r="G51" s="56"/>
      <c r="H51" s="56"/>
      <c r="I51" s="56"/>
      <c r="J51" s="56"/>
      <c r="K51" s="56"/>
      <c r="L51" s="56"/>
      <c r="M51" s="59">
        <f t="shared" si="1"/>
        <v>0</v>
      </c>
    </row>
    <row r="52" spans="1:13" ht="12.75">
      <c r="A52" s="135" t="s">
        <v>34</v>
      </c>
      <c r="B52" s="135"/>
      <c r="C52" s="135"/>
      <c r="D52" s="135"/>
      <c r="E52" s="135"/>
      <c r="F52" s="54">
        <f aca="true" t="shared" si="8" ref="F52:L52">SUM(F12,F31,F34,F36,F39,F41)</f>
        <v>4336934</v>
      </c>
      <c r="G52" s="54">
        <f t="shared" si="8"/>
        <v>5419590</v>
      </c>
      <c r="H52" s="54">
        <f t="shared" si="8"/>
        <v>5043943</v>
      </c>
      <c r="I52" s="54">
        <f t="shared" si="8"/>
        <v>1000000</v>
      </c>
      <c r="J52" s="54">
        <f t="shared" si="8"/>
        <v>12658549</v>
      </c>
      <c r="K52" s="54">
        <f t="shared" si="8"/>
        <v>16258770</v>
      </c>
      <c r="L52" s="54">
        <f t="shared" si="8"/>
        <v>15131827</v>
      </c>
      <c r="M52" s="59">
        <f t="shared" si="1"/>
        <v>16995483</v>
      </c>
    </row>
    <row r="53" spans="6:13" ht="12.75">
      <c r="F53" s="59"/>
      <c r="G53" s="59"/>
      <c r="H53" s="59"/>
      <c r="I53" s="59"/>
      <c r="J53" s="59"/>
      <c r="K53" s="59"/>
      <c r="L53" s="59"/>
      <c r="M53" s="59">
        <v>21696435</v>
      </c>
    </row>
    <row r="54" ht="12.75">
      <c r="F54" s="59"/>
    </row>
    <row r="55" spans="7:11" ht="12.75">
      <c r="G55" s="59"/>
      <c r="J55" s="59"/>
      <c r="K55" s="59"/>
    </row>
    <row r="56" spans="4:22" ht="12.75">
      <c r="D56" s="60"/>
      <c r="J56" s="59"/>
      <c r="K56" s="59"/>
      <c r="M56" s="108"/>
      <c r="N56" s="109"/>
      <c r="O56" s="109"/>
      <c r="P56" s="109"/>
      <c r="Q56" s="109"/>
      <c r="R56" s="109"/>
      <c r="S56" s="109"/>
      <c r="T56" s="109"/>
      <c r="U56" s="109"/>
      <c r="V56" s="109"/>
    </row>
    <row r="57" spans="3:16" ht="12.75">
      <c r="C57" s="47" t="s">
        <v>125</v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</row>
  </sheetData>
  <mergeCells count="25">
    <mergeCell ref="F1:L1"/>
    <mergeCell ref="A8:A10"/>
    <mergeCell ref="B8:B10"/>
    <mergeCell ref="C8:C10"/>
    <mergeCell ref="D8:E8"/>
    <mergeCell ref="F8:L8"/>
    <mergeCell ref="D9:D10"/>
    <mergeCell ref="C6:L6"/>
    <mergeCell ref="C7:L7"/>
    <mergeCell ref="B39:E39"/>
    <mergeCell ref="B41:E41"/>
    <mergeCell ref="A52:E52"/>
    <mergeCell ref="B31:E31"/>
    <mergeCell ref="B36:E36"/>
    <mergeCell ref="B34:E34"/>
    <mergeCell ref="B12:E12"/>
    <mergeCell ref="F3:L3"/>
    <mergeCell ref="E9:E10"/>
    <mergeCell ref="F9:I9"/>
    <mergeCell ref="J9:L9"/>
    <mergeCell ref="M56:V56"/>
    <mergeCell ref="F2:L2"/>
    <mergeCell ref="G57:P57"/>
    <mergeCell ref="F4:L4"/>
    <mergeCell ref="O8:U8"/>
  </mergeCells>
  <printOptions horizontalCentered="1"/>
  <pageMargins left="0.2362204724409449" right="0.5118110236220472" top="0.31496062992125984" bottom="0.31496062992125984" header="0.2362204724409449" footer="0.2362204724409449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KOŁOBRZEG</dc:creator>
  <cp:keywords/>
  <dc:description/>
  <cp:lastModifiedBy>...</cp:lastModifiedBy>
  <cp:lastPrinted>2005-06-29T06:52:47Z</cp:lastPrinted>
  <dcterms:created xsi:type="dcterms:W3CDTF">2003-08-06T12:05:32Z</dcterms:created>
  <dcterms:modified xsi:type="dcterms:W3CDTF">2005-06-29T06:53:52Z</dcterms:modified>
  <cp:category/>
  <cp:version/>
  <cp:contentType/>
  <cp:contentStatus/>
</cp:coreProperties>
</file>